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21" windowWidth="11790" windowHeight="6645" tabRatio="885" firstSheet="2" activeTab="2"/>
  </bookViews>
  <sheets>
    <sheet name="language" sheetId="1" state="hidden" r:id="rId1"/>
    <sheet name="Handleiding validatie" sheetId="2" state="hidden" r:id="rId2"/>
    <sheet name="Emission data" sheetId="3" r:id="rId3"/>
    <sheet name="Gaseous fuels" sheetId="4" state="hidden" r:id="rId4"/>
    <sheet name="Liquid fuels" sheetId="5" state="hidden" r:id="rId5"/>
    <sheet name="Solid fuels" sheetId="6" state="hidden" r:id="rId6"/>
    <sheet name="Validation test" sheetId="7" state="hidden" r:id="rId7"/>
    <sheet name="Data" sheetId="8" state="hidden" r:id="rId8"/>
  </sheets>
  <definedNames>
    <definedName name="\h">#REF!</definedName>
    <definedName name="\i">#REF!</definedName>
    <definedName name="\m">#REF!</definedName>
    <definedName name="\p">#REF!</definedName>
    <definedName name="_E">#REF!</definedName>
    <definedName name="_F">#REF!</definedName>
    <definedName name="_MENU">#REF!</definedName>
    <definedName name="_PITOTX">#REF!</definedName>
    <definedName name="_PRINTER">#REF!</definedName>
    <definedName name="_SHEETS">#REF!</definedName>
    <definedName name="_TABELLEN">#REF!</definedName>
    <definedName name="_xlnm.Print_Area" localSheetId="2">'Emission data'!$A$1:$O$38</definedName>
    <definedName name="_xlnm.Print_Area" localSheetId="3">'Gaseous fuels'!$A$1:$S$62</definedName>
    <definedName name="BARO">#REF!</definedName>
    <definedName name="BEDRIJF">#REF!</definedName>
    <definedName name="BREED">#REF!</definedName>
    <definedName name="DATUM">#REF!</definedName>
    <definedName name="DEBIET">#REF!</definedName>
    <definedName name="DIAM">#REF!</definedName>
    <definedName name="F">#REF!</definedName>
    <definedName name="FACTOR">#REF!</definedName>
    <definedName name="H">#REF!</definedName>
    <definedName name="HOOG">#REF!</definedName>
    <definedName name="I">#REF!</definedName>
    <definedName name="INSTALL">#REF!</definedName>
    <definedName name="INTERVAL">#REF!</definedName>
    <definedName name="K_">#REF!</definedName>
    <definedName name="KG">#REF!</definedName>
    <definedName name="KGH2O">#REF!</definedName>
    <definedName name="kop">#REF!</definedName>
    <definedName name="M3IND">#REF!</definedName>
    <definedName name="M3INDH2O">#REF!</definedName>
    <definedName name="OLE_LINK2" localSheetId="1">'Handleiding validatie'!$A$1</definedName>
    <definedName name="OPP">#REF!</definedName>
    <definedName name="PIT1">#REF!</definedName>
    <definedName name="PIT2">#REF!</definedName>
    <definedName name="PIT3">#REF!</definedName>
    <definedName name="PIT4">#REF!</definedName>
    <definedName name="PSTAT">#REF!</definedName>
    <definedName name="S">#REF!</definedName>
    <definedName name="SCHAAL">#REF!</definedName>
    <definedName name="SMACT">#REF!</definedName>
    <definedName name="SMIND">#REF!</definedName>
    <definedName name="SMINV">#REF!</definedName>
    <definedName name="SPECH">#REF!</definedName>
    <definedName name="SPECK">#REF!</definedName>
    <definedName name="SPECS">#REF!</definedName>
    <definedName name="TGASM">#REF!</definedName>
    <definedName name="TIJD">#REF!</definedName>
    <definedName name="TRG">#REF!</definedName>
    <definedName name="WAARN">#REF!</definedName>
  </definedNames>
  <calcPr fullCalcOnLoad="1"/>
</workbook>
</file>

<file path=xl/sharedStrings.xml><?xml version="1.0" encoding="utf-8"?>
<sst xmlns="http://schemas.openxmlformats.org/spreadsheetml/2006/main" count="1429" uniqueCount="1068">
  <si>
    <t>LFO</t>
  </si>
  <si>
    <t>stookwaarde</t>
  </si>
  <si>
    <t>Wobbe-index</t>
  </si>
  <si>
    <t>cal. bovenwaarde</t>
  </si>
  <si>
    <t>molgewicht</t>
  </si>
  <si>
    <t>mol.volume</t>
  </si>
  <si>
    <t>comp.fact.</t>
  </si>
  <si>
    <t>(MJ/kmol)</t>
  </si>
  <si>
    <t>(m03)</t>
  </si>
  <si>
    <t>C</t>
  </si>
  <si>
    <t>H</t>
  </si>
  <si>
    <t>O</t>
  </si>
  <si>
    <t>N</t>
  </si>
  <si>
    <t>S</t>
  </si>
  <si>
    <t>niet uit ISO 6976</t>
  </si>
  <si>
    <t>mol C/mol</t>
  </si>
  <si>
    <t>mol H/mol</t>
  </si>
  <si>
    <t>mol O/mol</t>
  </si>
  <si>
    <t>mol N/mol</t>
  </si>
  <si>
    <t>mol S/mol</t>
  </si>
  <si>
    <t>CO2</t>
  </si>
  <si>
    <t>MW</t>
  </si>
  <si>
    <t>%</t>
  </si>
  <si>
    <t>Type</t>
  </si>
  <si>
    <t>""</t>
  </si>
  <si>
    <t>mol C/kg</t>
  </si>
  <si>
    <t>mol H/kg</t>
  </si>
  <si>
    <t>mol N/kg</t>
  </si>
  <si>
    <t>mol S/kg</t>
  </si>
  <si>
    <t>mol O/kg</t>
  </si>
  <si>
    <t>4a</t>
  </si>
  <si>
    <t>9a</t>
  </si>
  <si>
    <t>15a</t>
  </si>
  <si>
    <t>Score</t>
  </si>
  <si>
    <t>Nm3</t>
  </si>
  <si>
    <t>kg</t>
  </si>
  <si>
    <t>SO2</t>
  </si>
  <si>
    <t>Lower heating value</t>
  </si>
  <si>
    <t>Percentage fossile fuel</t>
  </si>
  <si>
    <t>Installation/unit</t>
  </si>
  <si>
    <t>Thermal capacity</t>
  </si>
  <si>
    <t>Electrical efficiency</t>
  </si>
  <si>
    <t>E-load</t>
  </si>
  <si>
    <t>hours/year</t>
  </si>
  <si>
    <t>Operation of installation/unit</t>
  </si>
  <si>
    <t>Fuel</t>
  </si>
  <si>
    <t>Calculation principle</t>
  </si>
  <si>
    <t>Stoichiometric flue gas flow</t>
  </si>
  <si>
    <t>Application</t>
  </si>
  <si>
    <t>Consumption</t>
  </si>
  <si>
    <t>Energy consumption</t>
  </si>
  <si>
    <t>TJ/year</t>
  </si>
  <si>
    <t>Nm3/hour</t>
  </si>
  <si>
    <t>kg/hour</t>
  </si>
  <si>
    <t>tons/hour</t>
  </si>
  <si>
    <t>Average load</t>
  </si>
  <si>
    <t>Description</t>
  </si>
  <si>
    <t>Upper heating value</t>
  </si>
  <si>
    <t>Carbondioxide</t>
  </si>
  <si>
    <t>Sulphurdioxide</t>
  </si>
  <si>
    <t>Stoichiometric air demand</t>
  </si>
  <si>
    <t>Concentration in mol%</t>
  </si>
  <si>
    <t>Helium</t>
  </si>
  <si>
    <t>Argon</t>
  </si>
  <si>
    <t>Hydrogensulphide *</t>
  </si>
  <si>
    <t>Hydrogen</t>
  </si>
  <si>
    <t>Water (vapour)</t>
  </si>
  <si>
    <t>Nitrogen originating from fuel</t>
  </si>
  <si>
    <t>Nitrogen</t>
  </si>
  <si>
    <t>Oxygen</t>
  </si>
  <si>
    <t>Methane</t>
  </si>
  <si>
    <t>Carbonmonoxide</t>
  </si>
  <si>
    <t>Ethane</t>
  </si>
  <si>
    <t>Ethene *</t>
  </si>
  <si>
    <t>Ethyne *</t>
  </si>
  <si>
    <t>Propane</t>
  </si>
  <si>
    <t>Propene *</t>
  </si>
  <si>
    <t>2-Methylpropane</t>
  </si>
  <si>
    <t>n-Butane</t>
  </si>
  <si>
    <t>Butadiene *</t>
  </si>
  <si>
    <t>2,2-Dimethylpropane</t>
  </si>
  <si>
    <t>2-Methylbutane</t>
  </si>
  <si>
    <t>n-Pentane</t>
  </si>
  <si>
    <t>Cyclopentane *</t>
  </si>
  <si>
    <t>2,2-Dimethylbutane</t>
  </si>
  <si>
    <t>2,3-Dimethylbutane</t>
  </si>
  <si>
    <t>3-Methylpentane</t>
  </si>
  <si>
    <t>Cyclohexane</t>
  </si>
  <si>
    <t>n-Hexane</t>
  </si>
  <si>
    <t>Benzene</t>
  </si>
  <si>
    <t>2-Methylhexane</t>
  </si>
  <si>
    <t>3-Methylhexane</t>
  </si>
  <si>
    <t>n-Heptane</t>
  </si>
  <si>
    <t>Methylcyclohexane</t>
  </si>
  <si>
    <t>Toluene</t>
  </si>
  <si>
    <t>2-Methylheptane *</t>
  </si>
  <si>
    <t>2,2,4-Trimethylpentane</t>
  </si>
  <si>
    <t>n-Octane</t>
  </si>
  <si>
    <t>Total</t>
  </si>
  <si>
    <t>(*: compound not mentioned in ISO 6976)</t>
  </si>
  <si>
    <t>Molecular weight</t>
  </si>
  <si>
    <t>Compressibility</t>
  </si>
  <si>
    <t>Molar volume based on compressibility</t>
  </si>
  <si>
    <t>Density</t>
  </si>
  <si>
    <t>Relative density</t>
  </si>
  <si>
    <t>Stoichiometric combustion</t>
  </si>
  <si>
    <t>Oxygen demand (mol/mol)</t>
  </si>
  <si>
    <t>Dry air demand</t>
  </si>
  <si>
    <t>C (weight%)</t>
  </si>
  <si>
    <t>H (weight%)</t>
  </si>
  <si>
    <t>N (weight%)</t>
  </si>
  <si>
    <t>O (weight%)</t>
  </si>
  <si>
    <t>S (weight%)</t>
  </si>
  <si>
    <t>Ash (weight%)</t>
  </si>
  <si>
    <t>O (weight% dry)</t>
  </si>
  <si>
    <t>Moisture</t>
  </si>
  <si>
    <t>Ash (weight% dry)</t>
  </si>
  <si>
    <t>Reported</t>
  </si>
  <si>
    <t>Choice</t>
  </si>
  <si>
    <t>Installation type</t>
  </si>
  <si>
    <t>Min Efficiency</t>
  </si>
  <si>
    <t>Max Efficiency</t>
  </si>
  <si>
    <t>row</t>
  </si>
  <si>
    <t>column</t>
  </si>
  <si>
    <t>fuel type</t>
  </si>
  <si>
    <t>% fossile</t>
  </si>
  <si>
    <t>uncertainty</t>
  </si>
  <si>
    <t>unit</t>
  </si>
  <si>
    <t>Steam production</t>
  </si>
  <si>
    <t>ktons/year</t>
  </si>
  <si>
    <t>Stoichiometric flue gas flow (dry)</t>
  </si>
  <si>
    <t>Flue gas</t>
  </si>
  <si>
    <t>NOx</t>
  </si>
  <si>
    <t>Emission</t>
  </si>
  <si>
    <t>tons/year</t>
  </si>
  <si>
    <t>HCl</t>
  </si>
  <si>
    <t>CxHy</t>
  </si>
  <si>
    <t>CO</t>
  </si>
  <si>
    <t>Menu</t>
  </si>
  <si>
    <t>Validation test</t>
  </si>
  <si>
    <t>Change liquid fuel data</t>
  </si>
  <si>
    <t>Change solid fuel data</t>
  </si>
  <si>
    <t>LF 2</t>
  </si>
  <si>
    <t>GF 2</t>
  </si>
  <si>
    <t>GF 3</t>
  </si>
  <si>
    <t>SF 1</t>
  </si>
  <si>
    <t>SF 2</t>
  </si>
  <si>
    <t>SF 3</t>
  </si>
  <si>
    <t>SF 4</t>
  </si>
  <si>
    <t>Input emission data</t>
  </si>
  <si>
    <t>Validation test for emission data</t>
  </si>
  <si>
    <t>C (weight%,dry)</t>
  </si>
  <si>
    <t>H (weight%,dry)</t>
  </si>
  <si>
    <t>N (weight%,dry)</t>
  </si>
  <si>
    <t>S (weight%,dry)</t>
  </si>
  <si>
    <t>Concentration in dry flue gas</t>
  </si>
  <si>
    <t>mg/Nm3</t>
  </si>
  <si>
    <t>DUST</t>
  </si>
  <si>
    <t>COMBUSTION</t>
  </si>
  <si>
    <t>SUPPLY</t>
  </si>
  <si>
    <t>BOILER</t>
  </si>
  <si>
    <t>BOILER WITH STEAMTURBINE</t>
  </si>
  <si>
    <t>FURNACE</t>
  </si>
  <si>
    <t>GAS TURBINE</t>
  </si>
  <si>
    <t>CHP GAS TURBINE</t>
  </si>
  <si>
    <t>ENGINE</t>
  </si>
  <si>
    <t>CHP ENGINE</t>
  </si>
  <si>
    <t>OTHER</t>
  </si>
  <si>
    <t>NATURAL GAS</t>
  </si>
  <si>
    <t>DIESEL</t>
  </si>
  <si>
    <t>COAL</t>
  </si>
  <si>
    <t>Nm3/year</t>
  </si>
  <si>
    <t>HFO</t>
  </si>
  <si>
    <t>HC Gas</t>
  </si>
  <si>
    <t>NONE</t>
  </si>
  <si>
    <t>,,  ,, on individual molar volumes</t>
  </si>
  <si>
    <t>STAND-BY</t>
  </si>
  <si>
    <t>g/GJ</t>
  </si>
  <si>
    <t>Change gaseous fuel data</t>
  </si>
  <si>
    <t>Max. steam production</t>
  </si>
  <si>
    <t>Flue gas flow (dry)</t>
  </si>
  <si>
    <t>Gas flow (dry)</t>
  </si>
  <si>
    <t>for trading</t>
  </si>
  <si>
    <t>MJ/kg</t>
  </si>
  <si>
    <t>kg/GJ</t>
  </si>
  <si>
    <t>Nm3/Nm3</t>
  </si>
  <si>
    <t>MJ/Nm3</t>
  </si>
  <si>
    <t>Nm3/kg</t>
  </si>
  <si>
    <t>kg/year</t>
  </si>
  <si>
    <t>vol%</t>
  </si>
  <si>
    <t>Language</t>
  </si>
  <si>
    <t>ENGLISH</t>
  </si>
  <si>
    <t>DUTCH</t>
  </si>
  <si>
    <t>Validity</t>
  </si>
  <si>
    <t>DAYS/WEEK</t>
  </si>
  <si>
    <t>HR/DAY</t>
  </si>
  <si>
    <t>Current language choice</t>
  </si>
  <si>
    <t>CZECH</t>
  </si>
  <si>
    <t>not relevant/unknown</t>
  </si>
  <si>
    <t>MJ</t>
  </si>
  <si>
    <t>kg CO2/GJ</t>
  </si>
  <si>
    <t>O2</t>
  </si>
  <si>
    <t>ELV</t>
  </si>
  <si>
    <t>at</t>
  </si>
  <si>
    <t>Operating time</t>
  </si>
  <si>
    <t>relative</t>
  </si>
  <si>
    <t>Emission limit value</t>
  </si>
  <si>
    <t>concentration</t>
  </si>
  <si>
    <t xml:space="preserve"> in % of theoretical value</t>
  </si>
  <si>
    <t>dry</t>
  </si>
  <si>
    <t>wet</t>
  </si>
  <si>
    <t>Flue gas flow (wet)</t>
  </si>
  <si>
    <t>DIN1942</t>
  </si>
  <si>
    <t>composition</t>
  </si>
  <si>
    <t>MJ/kmol</t>
  </si>
  <si>
    <t>kg/Nm3</t>
  </si>
  <si>
    <t>Oxygen demand</t>
  </si>
  <si>
    <t>mol/kg</t>
  </si>
  <si>
    <t>Taal</t>
  </si>
  <si>
    <t>ENGELS</t>
  </si>
  <si>
    <t>NEDERLANDS</t>
  </si>
  <si>
    <t>TSJECHISCH</t>
  </si>
  <si>
    <t>Installatie/eenheid</t>
  </si>
  <si>
    <t>Thermisch vermogen</t>
  </si>
  <si>
    <t>Elektrisch rendement</t>
  </si>
  <si>
    <t>Max. stoomproductie</t>
  </si>
  <si>
    <t>Bedrijfsvoering</t>
  </si>
  <si>
    <t>Brandstof</t>
  </si>
  <si>
    <t>Berekeningsmethode</t>
  </si>
  <si>
    <t>Onderste verbrandingswaarde</t>
  </si>
  <si>
    <t>Bovenste verbrandingswaarde</t>
  </si>
  <si>
    <t>Stoichiometrisch luchtverbruik</t>
  </si>
  <si>
    <t>Droog luchtverbruik</t>
  </si>
  <si>
    <t>Stoichiometrisch rookgasvolume (droog)</t>
  </si>
  <si>
    <t>Stoichiometrisch rookgasvolume</t>
  </si>
  <si>
    <t>droog</t>
  </si>
  <si>
    <t>nat</t>
  </si>
  <si>
    <t>Toepassing</t>
  </si>
  <si>
    <t>Verbruik</t>
  </si>
  <si>
    <t>Energieverbruik</t>
  </si>
  <si>
    <t>Gemiddelde belasting</t>
  </si>
  <si>
    <t>Elektrische belasting</t>
  </si>
  <si>
    <t>Gehalte fossiele brandstof</t>
  </si>
  <si>
    <t>voor handel</t>
  </si>
  <si>
    <t>Concentratie in droog rookgas</t>
  </si>
  <si>
    <t>Emissie</t>
  </si>
  <si>
    <t>Rookgasdebiet (droog)</t>
  </si>
  <si>
    <t>Rookgasdebiet (nat)</t>
  </si>
  <si>
    <t>Debiet (droog)</t>
  </si>
  <si>
    <t>Invoer emissiegegevens</t>
  </si>
  <si>
    <t>Validatietest</t>
  </si>
  <si>
    <t>ton/uur</t>
  </si>
  <si>
    <t>uur/jaar</t>
  </si>
  <si>
    <t>Totaal</t>
  </si>
  <si>
    <t>Nm3/jaar</t>
  </si>
  <si>
    <t>kg/jaar</t>
  </si>
  <si>
    <t>Nm3/uur</t>
  </si>
  <si>
    <t>kg/uur</t>
  </si>
  <si>
    <t>TJ/jaar</t>
  </si>
  <si>
    <t>ton/jaar</t>
  </si>
  <si>
    <t>bij</t>
  </si>
  <si>
    <t>Geldigheid</t>
  </si>
  <si>
    <t>DAGEN/WEEK</t>
  </si>
  <si>
    <t>UUR/DAG</t>
  </si>
  <si>
    <t>Installatie type</t>
  </si>
  <si>
    <t>KETEL</t>
  </si>
  <si>
    <t>KETEL MET STOOMTURBINE</t>
  </si>
  <si>
    <t>PROCESFORNUIS</t>
  </si>
  <si>
    <t>GASTURBINE</t>
  </si>
  <si>
    <t>WKK GASTURBINE</t>
  </si>
  <si>
    <t>ZUIGERMOTOR</t>
  </si>
  <si>
    <t>WKK ZUIGERMOTOR</t>
  </si>
  <si>
    <t>ANDERS</t>
  </si>
  <si>
    <t>Min rendement</t>
  </si>
  <si>
    <t>Max rendement</t>
  </si>
  <si>
    <t>rij</t>
  </si>
  <si>
    <t>kolom</t>
  </si>
  <si>
    <t>brandstoftype</t>
  </si>
  <si>
    <t>GEEN</t>
  </si>
  <si>
    <t>% fossiel</t>
  </si>
  <si>
    <t>Stoichiometrisch rookgasvolume Rgv</t>
  </si>
  <si>
    <t>onzekerheid</t>
  </si>
  <si>
    <t>eenheid</t>
  </si>
  <si>
    <t>VERBRANDING</t>
  </si>
  <si>
    <t>LEVERING</t>
  </si>
  <si>
    <t>STOF</t>
  </si>
  <si>
    <t>Stoomproductie</t>
  </si>
  <si>
    <t>niet relevant/onbekend</t>
  </si>
  <si>
    <t>Keuze</t>
  </si>
  <si>
    <t>Bedrijfstijd</t>
  </si>
  <si>
    <t>Gerapporteerde</t>
  </si>
  <si>
    <t>Emissie-eis</t>
  </si>
  <si>
    <t>concentratie</t>
  </si>
  <si>
    <t>relatieve</t>
  </si>
  <si>
    <t xml:space="preserve"> in % van de theoretische waarde</t>
  </si>
  <si>
    <t>Omschrijving</t>
  </si>
  <si>
    <t>Brandstofstikstof</t>
  </si>
  <si>
    <t>Concentratie in mol%</t>
  </si>
  <si>
    <t>Waterstofsulfide *</t>
  </si>
  <si>
    <t>Waterstof</t>
  </si>
  <si>
    <t>Waterdamp</t>
  </si>
  <si>
    <t>Stikstof</t>
  </si>
  <si>
    <t>Zuurstof</t>
  </si>
  <si>
    <t>Methaan</t>
  </si>
  <si>
    <t>Koolstofmonoxide</t>
  </si>
  <si>
    <t>Koolstofdioxide</t>
  </si>
  <si>
    <t>Ethaan</t>
  </si>
  <si>
    <t>Etheen *</t>
  </si>
  <si>
    <t>Ethyn *</t>
  </si>
  <si>
    <t>Propaan</t>
  </si>
  <si>
    <t>Propeen *</t>
  </si>
  <si>
    <t>2-Methylpropaan</t>
  </si>
  <si>
    <t>n-Butaan</t>
  </si>
  <si>
    <t>Butadieen *</t>
  </si>
  <si>
    <t>2,2-Dimethylpropaan</t>
  </si>
  <si>
    <t>2-Methylbutaan</t>
  </si>
  <si>
    <t>n-Pentaan</t>
  </si>
  <si>
    <t>Cyclopentaan *</t>
  </si>
  <si>
    <t>2,2-Dimethylbutaan</t>
  </si>
  <si>
    <t>2,3-Dimethylbutaan</t>
  </si>
  <si>
    <t>3-Methylpentaan</t>
  </si>
  <si>
    <t>Cyclohexaan</t>
  </si>
  <si>
    <t>n-Hexaan</t>
  </si>
  <si>
    <t>Benzeen</t>
  </si>
  <si>
    <t>2-Methylhexaan</t>
  </si>
  <si>
    <t>3-Methylhexaan</t>
  </si>
  <si>
    <t>n-Heptaan</t>
  </si>
  <si>
    <t>Methylcyclohexaan</t>
  </si>
  <si>
    <t>Tolueen</t>
  </si>
  <si>
    <t>2-Methylheptaan *</t>
  </si>
  <si>
    <t>2,2,4-Trimethylpentaan</t>
  </si>
  <si>
    <t>n-Octaan</t>
  </si>
  <si>
    <t>(*: verbinding niet genoemd in ISO 6976)</t>
  </si>
  <si>
    <t>Zwaveldioxide</t>
  </si>
  <si>
    <t>Molgewicht</t>
  </si>
  <si>
    <t>Compressibiliteit</t>
  </si>
  <si>
    <t>Molair volume op basis van compressibiliteit</t>
  </si>
  <si>
    <t>,,  ,, op individuele molaire volumes</t>
  </si>
  <si>
    <t>Dichtheid</t>
  </si>
  <si>
    <t>Relatieve dichtheid</t>
  </si>
  <si>
    <t>Stoichiometrisch verbranding</t>
  </si>
  <si>
    <t>Zuurstofverbruik (mol/mol)</t>
  </si>
  <si>
    <t>Zuurstofverbruik</t>
  </si>
  <si>
    <t>samenstelling</t>
  </si>
  <si>
    <t>C (gew%)</t>
  </si>
  <si>
    <t>H (gew%)</t>
  </si>
  <si>
    <t>N (gew%)</t>
  </si>
  <si>
    <t>S (gew%)</t>
  </si>
  <si>
    <t>O (gew%)</t>
  </si>
  <si>
    <t>C (gew%,droog)</t>
  </si>
  <si>
    <t>H (gew%,droog)</t>
  </si>
  <si>
    <t>N (gew%,droog)</t>
  </si>
  <si>
    <t>S (gew%,droog)</t>
  </si>
  <si>
    <t>O (gew% droog)</t>
  </si>
  <si>
    <t>As (gew% droog)</t>
  </si>
  <si>
    <t>As (gew%)</t>
  </si>
  <si>
    <t>Vochtgehalte</t>
  </si>
  <si>
    <t>Rookgas</t>
  </si>
  <si>
    <t>kton/jaar</t>
  </si>
  <si>
    <t>POLISH</t>
  </si>
  <si>
    <t>POOLS</t>
  </si>
  <si>
    <t>Test oceny danych emisyjnych</t>
  </si>
  <si>
    <t>Instalacja/urządzenie</t>
  </si>
  <si>
    <t>Typ</t>
  </si>
  <si>
    <t>Wydajność cieplna</t>
  </si>
  <si>
    <t>Wydajność elektryczna</t>
  </si>
  <si>
    <t>E-ładunek</t>
  </si>
  <si>
    <t>Działanie instalacji/urządzenia</t>
  </si>
  <si>
    <t>Paliwo</t>
  </si>
  <si>
    <t>Zasada obliczeń</t>
  </si>
  <si>
    <t>Najniższa wartość opałowa</t>
  </si>
  <si>
    <t>Najwyższa wartość opałowa</t>
  </si>
  <si>
    <t>Wskaźnik Wobbe'a</t>
  </si>
  <si>
    <t>Stechiometryczne zapotrzebowanie na tlen</t>
  </si>
  <si>
    <t>Stechiometryczny przepływ spalin (suchych)</t>
  </si>
  <si>
    <t>Stechiometryczny przepływ spalin</t>
  </si>
  <si>
    <t>suchych</t>
  </si>
  <si>
    <t>mokrych</t>
  </si>
  <si>
    <t>Zastosowanie</t>
  </si>
  <si>
    <t>Zużycie</t>
  </si>
  <si>
    <t>Zużycie energii</t>
  </si>
  <si>
    <t>Średnie obciążenie</t>
  </si>
  <si>
    <t>Procent paliwa kopalnego</t>
  </si>
  <si>
    <t>objętego handlem</t>
  </si>
  <si>
    <t>Spaliny</t>
  </si>
  <si>
    <t>Stężenie w suchych spalinach</t>
  </si>
  <si>
    <t>Emisja</t>
  </si>
  <si>
    <t>Przepływ spalin (suchych)</t>
  </si>
  <si>
    <t>Przepływ spalin (mokrych)</t>
  </si>
  <si>
    <t>Wejścowe dane emisyjne</t>
  </si>
  <si>
    <t>Test oceny</t>
  </si>
  <si>
    <t>Zmiana danych dot. paliw gaz.</t>
  </si>
  <si>
    <t>Zmiana danych dot. paliw płyn.</t>
  </si>
  <si>
    <t>Zmiana danych dot. paliw stał.</t>
  </si>
  <si>
    <t>ton/godz</t>
  </si>
  <si>
    <t>godz/rok</t>
  </si>
  <si>
    <t>Razem</t>
  </si>
  <si>
    <t>Nm3/rok</t>
  </si>
  <si>
    <t>Nm3/godz</t>
  </si>
  <si>
    <t>kg/godz</t>
  </si>
  <si>
    <t>TJ/rok</t>
  </si>
  <si>
    <t>ton/rok</t>
  </si>
  <si>
    <t>kton/rok</t>
  </si>
  <si>
    <t>kg/rok</t>
  </si>
  <si>
    <t>Przepływ (suchych)</t>
  </si>
  <si>
    <t>DNI/TYDZ</t>
  </si>
  <si>
    <t>GODZ/DZIEŃ</t>
  </si>
  <si>
    <t>JEDN.ZAPASOWA/STAND-BY</t>
  </si>
  <si>
    <t>Instalacji typ</t>
  </si>
  <si>
    <t>KOCIOŁ</t>
  </si>
  <si>
    <t>KOCIOŁ Z TURBINĄ PAROWĄ</t>
  </si>
  <si>
    <t>PIEC</t>
  </si>
  <si>
    <t>TURBINA GAZOWA</t>
  </si>
  <si>
    <t>TURBINA GAZOWA KOGENERACYJNA (CHP)</t>
  </si>
  <si>
    <t>SILNIK</t>
  </si>
  <si>
    <t>SILNIK KOGENERACYJNY (CHP)</t>
  </si>
  <si>
    <t>INNE</t>
  </si>
  <si>
    <t>wiersz</t>
  </si>
  <si>
    <t>-</t>
  </si>
  <si>
    <t>SPALANIE</t>
  </si>
  <si>
    <t>DOSTAWA</t>
  </si>
  <si>
    <t>Produkcja pary</t>
  </si>
  <si>
    <t>nie dotyczy/ nieznane</t>
  </si>
  <si>
    <t>Wybór</t>
  </si>
  <si>
    <t>Czas działania</t>
  </si>
  <si>
    <t>Raportowana</t>
  </si>
  <si>
    <t>w</t>
  </si>
  <si>
    <t>stężenie</t>
  </si>
  <si>
    <t>Dopuszczalna wartość emisji</t>
  </si>
  <si>
    <t xml:space="preserve"> w % wartości teoretycznej</t>
  </si>
  <si>
    <t>Opis</t>
  </si>
  <si>
    <t>Azot pochodzący z paliwa</t>
  </si>
  <si>
    <t>Stężenie w mol%</t>
  </si>
  <si>
    <t>Hel</t>
  </si>
  <si>
    <t>Siarkowodór *</t>
  </si>
  <si>
    <t>Wodór</t>
  </si>
  <si>
    <t>Woda (para)</t>
  </si>
  <si>
    <t xml:space="preserve">Azot  </t>
  </si>
  <si>
    <t>Tlen</t>
  </si>
  <si>
    <t>Metan</t>
  </si>
  <si>
    <t>Tlenek węgla</t>
  </si>
  <si>
    <t>Dwutlenek węgla</t>
  </si>
  <si>
    <t>Etan</t>
  </si>
  <si>
    <t>Eten *</t>
  </si>
  <si>
    <t>Etyn *</t>
  </si>
  <si>
    <t>Propan</t>
  </si>
  <si>
    <t>Propen *</t>
  </si>
  <si>
    <t>2-Metylopropan</t>
  </si>
  <si>
    <t>n-Butan</t>
  </si>
  <si>
    <t>Butadien *</t>
  </si>
  <si>
    <t>2,2-Dimetylopropan</t>
  </si>
  <si>
    <t>2-Metylobutan</t>
  </si>
  <si>
    <t>n-Pentan</t>
  </si>
  <si>
    <t>Cyklopentan *</t>
  </si>
  <si>
    <t>2,2-Dimetylobutan</t>
  </si>
  <si>
    <t>2,3-Dimetylobutan</t>
  </si>
  <si>
    <t>3-Metylopentan</t>
  </si>
  <si>
    <t>Cykloheksan</t>
  </si>
  <si>
    <t>n-Heksan</t>
  </si>
  <si>
    <t>Benzen</t>
  </si>
  <si>
    <t>2-Metyloheksan</t>
  </si>
  <si>
    <t>3-Metyloheksan</t>
  </si>
  <si>
    <t>n-Heptan</t>
  </si>
  <si>
    <t>Metylocykloheksan</t>
  </si>
  <si>
    <t>Toluen</t>
  </si>
  <si>
    <t>2-Metyloheptan *</t>
  </si>
  <si>
    <t>2,2,4-Trimetylopentan</t>
  </si>
  <si>
    <t>n-Oktan</t>
  </si>
  <si>
    <t>(*: związek nie wymieniony w ISO 6976)</t>
  </si>
  <si>
    <t>Dwutlenek siarki</t>
  </si>
  <si>
    <t>Zapotrzebowanie na powietrze w stanie suchym</t>
  </si>
  <si>
    <t>Masa molekularna</t>
  </si>
  <si>
    <t>Ściśliwość</t>
  </si>
  <si>
    <t>Objętość molowa oparta na ściśliwości</t>
  </si>
  <si>
    <t>- " oparta na indywidualnej objętości molowej</t>
  </si>
  <si>
    <t>Gęstość</t>
  </si>
  <si>
    <t>Gęstość względna</t>
  </si>
  <si>
    <t>względna</t>
  </si>
  <si>
    <t>Spalanie stechiometryczne</t>
  </si>
  <si>
    <t>Zapotrzebowanie na tlen (mol/mol)</t>
  </si>
  <si>
    <t>Zapotrzebowanie na tlen</t>
  </si>
  <si>
    <t>skład</t>
  </si>
  <si>
    <t>C (wagowy%)</t>
  </si>
  <si>
    <t>H (wagowy%)</t>
  </si>
  <si>
    <t>N (wagowy%)</t>
  </si>
  <si>
    <t>S (wagowy%)</t>
  </si>
  <si>
    <t>Popiół (wagowy%)</t>
  </si>
  <si>
    <t>O (wagowy%)</t>
  </si>
  <si>
    <t>C (wagowy% masy suchej)</t>
  </si>
  <si>
    <t>H (wagowy% masy suchej)</t>
  </si>
  <si>
    <t>N (wagowy% masy suchej)</t>
  </si>
  <si>
    <t>S (wagowy% masy suchej)</t>
  </si>
  <si>
    <t>O (wagowy% masy suchej)</t>
  </si>
  <si>
    <t>Wilgotność</t>
  </si>
  <si>
    <t>Popiół (wagowy% masy suchej)</t>
  </si>
  <si>
    <t>Język</t>
  </si>
  <si>
    <t>kolumna</t>
  </si>
  <si>
    <t>BULGARIAN</t>
  </si>
  <si>
    <t>BULGAARS</t>
  </si>
  <si>
    <t>GERMAN</t>
  </si>
  <si>
    <t>FRENCH</t>
  </si>
  <si>
    <t>DUITS</t>
  </si>
  <si>
    <t>FRANS</t>
  </si>
  <si>
    <t>ANGIELSKI</t>
  </si>
  <si>
    <t>HOLENDERSKI</t>
  </si>
  <si>
    <t>POLSKI</t>
  </si>
  <si>
    <t>CZESKI</t>
  </si>
  <si>
    <t>BUŁGARSKI</t>
  </si>
  <si>
    <t>NIEMIECKI</t>
  </si>
  <si>
    <t>FRANCUSKI</t>
  </si>
  <si>
    <t>Max. produkcja pary</t>
  </si>
  <si>
    <t>Okres ważności'</t>
  </si>
  <si>
    <t>Min. wydajność</t>
  </si>
  <si>
    <t>Max. wydajność</t>
  </si>
  <si>
    <t>Typ paliwa</t>
  </si>
  <si>
    <t>% paliwa kopalnego</t>
  </si>
  <si>
    <t>niepewność</t>
  </si>
  <si>
    <t>jednostka</t>
  </si>
  <si>
    <t>PYŁ</t>
  </si>
  <si>
    <t>Wynik</t>
  </si>
  <si>
    <t>DWE</t>
  </si>
  <si>
    <t>Jazyk</t>
  </si>
  <si>
    <t>ANGLIČTINA</t>
  </si>
  <si>
    <t>ČEŠTINA</t>
  </si>
  <si>
    <t>HOLANDŠTINA</t>
  </si>
  <si>
    <t>Tepelný výkon</t>
  </si>
  <si>
    <t>Elektrická účinnost</t>
  </si>
  <si>
    <t>E-zatížení</t>
  </si>
  <si>
    <t>Max. produkce páry</t>
  </si>
  <si>
    <t>Zařízení/jednotka</t>
  </si>
  <si>
    <t>Provoz zařízení/jednotky</t>
  </si>
  <si>
    <t>Palivo</t>
  </si>
  <si>
    <t>Pravidlo pro výpočet</t>
  </si>
  <si>
    <t>Spodní výhřevnost</t>
  </si>
  <si>
    <t>Horní výhřevnost</t>
  </si>
  <si>
    <t>Wobbeho index</t>
  </si>
  <si>
    <t>suchý</t>
  </si>
  <si>
    <t>mokrý</t>
  </si>
  <si>
    <t>Procento fosilního paliva</t>
  </si>
  <si>
    <t>pro obchodování</t>
  </si>
  <si>
    <t>Kouřový plyn</t>
  </si>
  <si>
    <t>Koncentrace v kouřovém plynu</t>
  </si>
  <si>
    <t>Emise</t>
  </si>
  <si>
    <t>Průtok kouřového plynu (suchého)</t>
  </si>
  <si>
    <t>Průtok kouřového plynu (mokrého)</t>
  </si>
  <si>
    <t>Průtok plynu (suchého)</t>
  </si>
  <si>
    <t>Ověřovací test</t>
  </si>
  <si>
    <t>Změna údajů o plynném palivu</t>
  </si>
  <si>
    <t>Změna údajů o tekutém palivu</t>
  </si>
  <si>
    <t>Změna údajů o pevném palivu</t>
  </si>
  <si>
    <t>tuna/hod</t>
  </si>
  <si>
    <t>hod/rok</t>
  </si>
  <si>
    <t>m3/rok</t>
  </si>
  <si>
    <t>m3/m3</t>
  </si>
  <si>
    <t>m3/kg</t>
  </si>
  <si>
    <t>m3</t>
  </si>
  <si>
    <t>kg/m3</t>
  </si>
  <si>
    <t>m3/hod</t>
  </si>
  <si>
    <t>kg/hod</t>
  </si>
  <si>
    <t>tuny/rok</t>
  </si>
  <si>
    <t>kilotuny/rok</t>
  </si>
  <si>
    <t>objem %</t>
  </si>
  <si>
    <t>mg/m3</t>
  </si>
  <si>
    <t>v</t>
  </si>
  <si>
    <t>DNY/TÝDEN</t>
  </si>
  <si>
    <t>HOD/DEN</t>
  </si>
  <si>
    <t>POHOTOVOST</t>
  </si>
  <si>
    <t>Typ zařízení</t>
  </si>
  <si>
    <t>KOTEL</t>
  </si>
  <si>
    <t>KOTEL S PARNÍ TURBÍNOU</t>
  </si>
  <si>
    <t>PEC</t>
  </si>
  <si>
    <t>PLYNOVÁ TURBÍNA</t>
  </si>
  <si>
    <t>CHP PLYNOVÁ TURBÍNA</t>
  </si>
  <si>
    <t>MOTOR</t>
  </si>
  <si>
    <t>CHP MOTOR</t>
  </si>
  <si>
    <t xml:space="preserve">JINÉ </t>
  </si>
  <si>
    <t>řada</t>
  </si>
  <si>
    <t>sloupec</t>
  </si>
  <si>
    <t>ŽÁDNÉ</t>
  </si>
  <si>
    <t>% fosilního (paliva)</t>
  </si>
  <si>
    <t>Hodnota spodní výhřevnosti</t>
  </si>
  <si>
    <t>nejistota</t>
  </si>
  <si>
    <t>jednotka</t>
  </si>
  <si>
    <t>SPALOVÁNÍ</t>
  </si>
  <si>
    <t>DODÁVKA</t>
  </si>
  <si>
    <t>PRACH</t>
  </si>
  <si>
    <t>není relevantní/neznámý</t>
  </si>
  <si>
    <t>EL=emisní limit</t>
  </si>
  <si>
    <t>koncentrace</t>
  </si>
  <si>
    <t>relativní</t>
  </si>
  <si>
    <t>v % teoretické hodnoty</t>
  </si>
  <si>
    <t>O (váha %, suchý)</t>
  </si>
  <si>
    <t>S (váha %, suchý)</t>
  </si>
  <si>
    <t>N (váha %, suchý)</t>
  </si>
  <si>
    <t>H (váha%, suchý)</t>
  </si>
  <si>
    <t>C (váha %, suchý)</t>
  </si>
  <si>
    <t>O (váha %)</t>
  </si>
  <si>
    <t>S (váha%)</t>
  </si>
  <si>
    <t>N (váha %)</t>
  </si>
  <si>
    <t>H (váha %)</t>
  </si>
  <si>
    <t>C (váha%)</t>
  </si>
  <si>
    <t>složení</t>
  </si>
  <si>
    <t>norma DIN1942</t>
  </si>
  <si>
    <t>(*: sloučenina, která není uvedena v normě ISO 6976)</t>
  </si>
  <si>
    <t>stechiometrický průtok kouřového plynu Rgv</t>
  </si>
  <si>
    <t>MJ/m3</t>
  </si>
  <si>
    <t>Vložení emisních údajů</t>
  </si>
  <si>
    <t>Stechiometrická spotřeba vzduchu</t>
  </si>
  <si>
    <t>Stechiometrický průtok kouřového plynu (suchého)</t>
  </si>
  <si>
    <t xml:space="preserve">Stechiometrický průtok kouřového plynu </t>
  </si>
  <si>
    <t>Ověřovací  test pro emisní  údaje</t>
  </si>
  <si>
    <t>Spotřeba suchého vzduchu</t>
  </si>
  <si>
    <t>Použití</t>
  </si>
  <si>
    <t>Spotřeba</t>
  </si>
  <si>
    <t>Spotřeba energie</t>
  </si>
  <si>
    <t>Průměrné zatížení</t>
  </si>
  <si>
    <t>Celkem</t>
  </si>
  <si>
    <t>Správnost</t>
  </si>
  <si>
    <t>Min účinnost</t>
  </si>
  <si>
    <t>Max účinnost</t>
  </si>
  <si>
    <t>Typ paliva</t>
  </si>
  <si>
    <t>Skóre</t>
  </si>
  <si>
    <t>Produkce páry</t>
  </si>
  <si>
    <t>Výběr</t>
  </si>
  <si>
    <t>Provozní doba</t>
  </si>
  <si>
    <t>Reportované</t>
  </si>
  <si>
    <t>Hodnota emisního limitu</t>
  </si>
  <si>
    <t>Popis</t>
  </si>
  <si>
    <t>Dusík vzniklý z paliva</t>
  </si>
  <si>
    <t>Koncentrace v mol%</t>
  </si>
  <si>
    <t>Sirovodík</t>
  </si>
  <si>
    <t>Vodík</t>
  </si>
  <si>
    <t>Voda (pára)</t>
  </si>
  <si>
    <t>Dusík</t>
  </si>
  <si>
    <t>Kyslík</t>
  </si>
  <si>
    <t>Oxid uhelnatý</t>
  </si>
  <si>
    <t>Oxid uhličitý</t>
  </si>
  <si>
    <t>2-Metylpropan</t>
  </si>
  <si>
    <t>2,2-Dimetylpropan</t>
  </si>
  <si>
    <t>2-Metylbutan</t>
  </si>
  <si>
    <t>2,2-Dimetylbutan</t>
  </si>
  <si>
    <t>2,3-Dimetylbutan</t>
  </si>
  <si>
    <t>3-Metylpentan</t>
  </si>
  <si>
    <t>Cyklohexan</t>
  </si>
  <si>
    <t>n-Hexan</t>
  </si>
  <si>
    <t>2-Metylhexan</t>
  </si>
  <si>
    <t>3-Metylhexan</t>
  </si>
  <si>
    <t>Metylcyklohexan</t>
  </si>
  <si>
    <t>2-Metylheptan *</t>
  </si>
  <si>
    <t>2,2,4-Trimetylpentan</t>
  </si>
  <si>
    <t>Oxid siřičitý</t>
  </si>
  <si>
    <t>Molekulární váha</t>
  </si>
  <si>
    <t>Stlačitelnost</t>
  </si>
  <si>
    <t xml:space="preserve">Molární množství založené na stlačitelnosti </t>
  </si>
  <si>
    <t>" " na jednotlivá molární množství</t>
  </si>
  <si>
    <t>Hustota</t>
  </si>
  <si>
    <t>Relativní hustota</t>
  </si>
  <si>
    <t>Stechiometrické spalování</t>
  </si>
  <si>
    <t>Spotřeba kyslíku (mol/mol)</t>
  </si>
  <si>
    <t>Spotřeba kyslíku</t>
  </si>
  <si>
    <t>Popílek (váha% )</t>
  </si>
  <si>
    <t>Popílek (váha% , suchý)</t>
  </si>
  <si>
    <t>Vlhkost</t>
  </si>
  <si>
    <t>Nm3: m3 at standard conditions</t>
  </si>
  <si>
    <t>Nm3: m3 za normálních podmínek</t>
  </si>
  <si>
    <t>POLŠTINA</t>
  </si>
  <si>
    <t>BULHARŠTINA</t>
  </si>
  <si>
    <t>NĚMČINA</t>
  </si>
  <si>
    <t>FRANCOUZŠTINA</t>
  </si>
  <si>
    <t xml:space="preserve">Nm3: m3 w warunkach normalnych </t>
  </si>
  <si>
    <t>Nm3: m3 в нормални условия</t>
  </si>
  <si>
    <t>Език</t>
  </si>
  <si>
    <t>Английски</t>
  </si>
  <si>
    <t>Холандски</t>
  </si>
  <si>
    <t>Полски</t>
  </si>
  <si>
    <t>Чешки</t>
  </si>
  <si>
    <t>Български</t>
  </si>
  <si>
    <t>Немски</t>
  </si>
  <si>
    <t>Френски</t>
  </si>
  <si>
    <t>Инсталация/звено</t>
  </si>
  <si>
    <t>Вид</t>
  </si>
  <si>
    <t>Топлинна мощност</t>
  </si>
  <si>
    <t>КПД</t>
  </si>
  <si>
    <t>Електронатоварване</t>
  </si>
  <si>
    <t>Максимално производство на пара</t>
  </si>
  <si>
    <t>Експлоатация на инсталацията/звеното</t>
  </si>
  <si>
    <t>Гориво</t>
  </si>
  <si>
    <t>Начин на изчисление</t>
  </si>
  <si>
    <t xml:space="preserve">Долно ниво на калоричност </t>
  </si>
  <si>
    <t>Горно ниво на калоричност</t>
  </si>
  <si>
    <t>Wobbe-индекс</t>
  </si>
  <si>
    <t>Стохиометрична нужда от кислород</t>
  </si>
  <si>
    <t>Нужда от сух въздух</t>
  </si>
  <si>
    <t>Стохиометричен дебит на димни газове</t>
  </si>
  <si>
    <t>сух</t>
  </si>
  <si>
    <t>влажен</t>
  </si>
  <si>
    <t>Потребление</t>
  </si>
  <si>
    <t>Потребление на енергия</t>
  </si>
  <si>
    <t>Средно натоварване</t>
  </si>
  <si>
    <t>Процент изкопаемо гориво</t>
  </si>
  <si>
    <t>за продажба</t>
  </si>
  <si>
    <t>Димни газове</t>
  </si>
  <si>
    <t>Концентрация в сухи димни газове</t>
  </si>
  <si>
    <t>Емисии</t>
  </si>
  <si>
    <t>Дебит на димни газове (сухи)</t>
  </si>
  <si>
    <t>Дебит на димни газове (влажни)</t>
  </si>
  <si>
    <t>Дебит на газове (сухи)</t>
  </si>
  <si>
    <t>Въвеждане на данни за изпуснати емисии</t>
  </si>
  <si>
    <t>Промяна в данните за газообразно гориво</t>
  </si>
  <si>
    <t>Промяна в данните за течно гориво</t>
  </si>
  <si>
    <t>Промяна в данните за твърдо гориво</t>
  </si>
  <si>
    <t>часове/год</t>
  </si>
  <si>
    <t>Общо</t>
  </si>
  <si>
    <t>Nm3/год</t>
  </si>
  <si>
    <t>kg/год</t>
  </si>
  <si>
    <t>Nm3/час</t>
  </si>
  <si>
    <t>kg/час</t>
  </si>
  <si>
    <t>TJ/год</t>
  </si>
  <si>
    <t>ktons/год</t>
  </si>
  <si>
    <t>обем %</t>
  </si>
  <si>
    <t>при</t>
  </si>
  <si>
    <t>Валидност</t>
  </si>
  <si>
    <t>Меню</t>
  </si>
  <si>
    <t>ДНИ/СЕДМИЦА</t>
  </si>
  <si>
    <t>ЧАСА/ДЕН</t>
  </si>
  <si>
    <t>ПОСТОЯННО</t>
  </si>
  <si>
    <t>Вид инсталация</t>
  </si>
  <si>
    <t>КОТЕЛ</t>
  </si>
  <si>
    <t>КОТЕЛ С ПАРНА ТУРБИНА</t>
  </si>
  <si>
    <t>ПЕЩ</t>
  </si>
  <si>
    <t>ГАЗОВА ТУРБИНА</t>
  </si>
  <si>
    <t>ДВИГАТЕЛ</t>
  </si>
  <si>
    <t>ДРУГ</t>
  </si>
  <si>
    <t>Минимално ниво на ефективност</t>
  </si>
  <si>
    <t>Максимално ниво на ефективност</t>
  </si>
  <si>
    <t>ред</t>
  </si>
  <si>
    <t>колона</t>
  </si>
  <si>
    <t>вид гориво</t>
  </si>
  <si>
    <t>НИЩО</t>
  </si>
  <si>
    <t>% фосил</t>
  </si>
  <si>
    <t>Стохиометричен дебит на димни газове Rgv</t>
  </si>
  <si>
    <t>несигурност</t>
  </si>
  <si>
    <t>звено</t>
  </si>
  <si>
    <t>ГОРЕНЕ</t>
  </si>
  <si>
    <t>ДОСТАВКА</t>
  </si>
  <si>
    <t>ПРАХ</t>
  </si>
  <si>
    <t>Резултат</t>
  </si>
  <si>
    <t>Производство на пара</t>
  </si>
  <si>
    <t>не се прилага/неизвестен</t>
  </si>
  <si>
    <t>Избор</t>
  </si>
  <si>
    <t>Време на експлоатация</t>
  </si>
  <si>
    <t>Докладване</t>
  </si>
  <si>
    <t>Праг на допустими емесии</t>
  </si>
  <si>
    <t>концентрация</t>
  </si>
  <si>
    <t>приблизително</t>
  </si>
  <si>
    <t>в % от теоритичната стойност</t>
  </si>
  <si>
    <t>Описание</t>
  </si>
  <si>
    <t>Азот, получен от горивото</t>
  </si>
  <si>
    <t>Концентрация в mol%</t>
  </si>
  <si>
    <t>Хелий</t>
  </si>
  <si>
    <t>Аргон</t>
  </si>
  <si>
    <t>Хидрогенсулфид *</t>
  </si>
  <si>
    <t>Водород</t>
  </si>
  <si>
    <t>Вода (изпарение)</t>
  </si>
  <si>
    <t>Азот</t>
  </si>
  <si>
    <t>Кислород</t>
  </si>
  <si>
    <t>Метан</t>
  </si>
  <si>
    <t>Въглероден моноксид</t>
  </si>
  <si>
    <t>Въглероден диоксид</t>
  </si>
  <si>
    <t>Етан</t>
  </si>
  <si>
    <t>Етен*</t>
  </si>
  <si>
    <t>Етин*</t>
  </si>
  <si>
    <t>Пропан</t>
  </si>
  <si>
    <t>Пропин*</t>
  </si>
  <si>
    <t>2-метилпропан</t>
  </si>
  <si>
    <t>n-бутан</t>
  </si>
  <si>
    <t>Бутадиен*</t>
  </si>
  <si>
    <t>2,2-диметилпропан</t>
  </si>
  <si>
    <t>2-Метилбутан</t>
  </si>
  <si>
    <t>n-Пентан</t>
  </si>
  <si>
    <t>Циклопентан*</t>
  </si>
  <si>
    <t>2,2-диметилбутан</t>
  </si>
  <si>
    <t>2,3-диметилбутан</t>
  </si>
  <si>
    <t>3-Метилпентан</t>
  </si>
  <si>
    <t>Цеклохексан</t>
  </si>
  <si>
    <t>n-хексан</t>
  </si>
  <si>
    <t>Бензен</t>
  </si>
  <si>
    <t>2-метилхексан</t>
  </si>
  <si>
    <t>n-хептан</t>
  </si>
  <si>
    <t>Метилциклохексан</t>
  </si>
  <si>
    <t>Толуол</t>
  </si>
  <si>
    <t xml:space="preserve">2-Метилхептан * </t>
  </si>
  <si>
    <t>2,2,4-Триметилпентан</t>
  </si>
  <si>
    <t>n-Октан</t>
  </si>
  <si>
    <t>*: съединение, което не е отбелязано в ISO 6976</t>
  </si>
  <si>
    <t>Серен диоксид</t>
  </si>
  <si>
    <t>Молекулно тегло</t>
  </si>
  <si>
    <t>Компресируемост</t>
  </si>
  <si>
    <t>" " при индивидуални молекулни обеми</t>
  </si>
  <si>
    <t>Вискозитет</t>
  </si>
  <si>
    <t>Относителен вискозитет</t>
  </si>
  <si>
    <t>Стохиометрично изгаряне</t>
  </si>
  <si>
    <t>Нужда от кислород (mol/mol)</t>
  </si>
  <si>
    <t>Нужда от кислород</t>
  </si>
  <si>
    <t>състав</t>
  </si>
  <si>
    <t>C (тегло %)</t>
  </si>
  <si>
    <t>H (тегло%)</t>
  </si>
  <si>
    <t>N (тегло%)</t>
  </si>
  <si>
    <t>S (тегло%)</t>
  </si>
  <si>
    <t>Ash (тегло%)</t>
  </si>
  <si>
    <t>O (тегло%)</t>
  </si>
  <si>
    <t>C (тегло%,сух)</t>
  </si>
  <si>
    <t>H (тегло%,сух)</t>
  </si>
  <si>
    <t>N (тегло%,сух)</t>
  </si>
  <si>
    <t>S (тегло%,сух)</t>
  </si>
  <si>
    <t>O (тегло%,сух)</t>
  </si>
  <si>
    <t>Пепел (тегло%, сух)</t>
  </si>
  <si>
    <t>Влажност</t>
  </si>
  <si>
    <t>Стохиомет. дебит на димни газове (сухи)</t>
  </si>
  <si>
    <t>AARDGAS</t>
  </si>
  <si>
    <t>ПРИРОДЕН ГАЗ</t>
  </si>
  <si>
    <t>KOLEN</t>
  </si>
  <si>
    <t>ДИЗЕЛ</t>
  </si>
  <si>
    <t>МАЗУТ</t>
  </si>
  <si>
    <t>НАФТА</t>
  </si>
  <si>
    <t>ВЪГЛИЩА</t>
  </si>
  <si>
    <t>tоns/год</t>
  </si>
  <si>
    <t>tons/час</t>
  </si>
  <si>
    <t>Wijzig gegevens gasvormige brandstoffen</t>
  </si>
  <si>
    <t>Wijzig gegevens vloeibare brandstoffen</t>
  </si>
  <si>
    <t>Wijzig gegevens vaste brandstoffen</t>
  </si>
  <si>
    <t>Different from expected value</t>
  </si>
  <si>
    <t>Afwijkend van verwachtingswaarde</t>
  </si>
  <si>
    <t>ГАЗОВА ТУРБИНА ЗА КОМБИНИРАНО ТОПЛО И ЕЛЕКТРО ПРОИЗВОДСТВО</t>
  </si>
  <si>
    <t>ДВИГАТЕЛ ЗА КОМБИНИРАНО ТОПЛО И ЕЛЕКТРО ПРОИЗВОДСТВО</t>
  </si>
  <si>
    <t>Праг на допустими емисии</t>
  </si>
  <si>
    <t>Молекулен обем на база на компресируемост</t>
  </si>
  <si>
    <t>Различно от очакваната стойност</t>
  </si>
  <si>
    <t>Тест за валидиране на данните за изпуснати емисии</t>
  </si>
  <si>
    <t xml:space="preserve">Тест за валидиране </t>
  </si>
  <si>
    <t>HF</t>
  </si>
  <si>
    <r>
      <t>Odlišné od o</t>
    </r>
    <r>
      <rPr>
        <sz val="8"/>
        <rFont val="Arial"/>
        <family val="2"/>
      </rPr>
      <t>č</t>
    </r>
    <r>
      <rPr>
        <sz val="8"/>
        <rFont val="Arial"/>
        <family val="2"/>
      </rPr>
      <t>ekávané hodnoty</t>
    </r>
  </si>
  <si>
    <r>
      <t>odbiegaj</t>
    </r>
    <r>
      <rPr>
        <sz val="8"/>
        <color indexed="8"/>
        <rFont val="Times New Roman"/>
        <family val="1"/>
      </rPr>
      <t>ą</t>
    </r>
    <r>
      <rPr>
        <sz val="8"/>
        <color indexed="8"/>
        <rFont val="Arial"/>
        <family val="2"/>
      </rPr>
      <t>ce od oczekiwanej warto</t>
    </r>
    <r>
      <rPr>
        <sz val="8"/>
        <color indexed="8"/>
        <rFont val="Times New Roman"/>
        <family val="1"/>
      </rPr>
      <t>ś</t>
    </r>
    <r>
      <rPr>
        <sz val="8"/>
        <color indexed="8"/>
        <rFont val="Arial"/>
        <family val="2"/>
      </rPr>
      <t xml:space="preserve">ci </t>
    </r>
  </si>
  <si>
    <t>Ok</t>
  </si>
  <si>
    <t>Okay</t>
  </si>
  <si>
    <t>CROATIAN</t>
  </si>
  <si>
    <t>KROATISCH</t>
  </si>
  <si>
    <t>Test provjere emisija u zrak</t>
  </si>
  <si>
    <t xml:space="preserve">Različito od očekivane vrijednosti </t>
  </si>
  <si>
    <t>U redu</t>
  </si>
  <si>
    <t>Nm3: m3 u standardnim uvjetima</t>
  </si>
  <si>
    <t>Jezik</t>
  </si>
  <si>
    <t>ENGLESKI</t>
  </si>
  <si>
    <t>NIZOZEMSKI</t>
  </si>
  <si>
    <t>POLJSKI</t>
  </si>
  <si>
    <t>ČEŠKI</t>
  </si>
  <si>
    <t>BUGARSKI</t>
  </si>
  <si>
    <t>HRVATSKI</t>
  </si>
  <si>
    <t>NJEMAČKI</t>
  </si>
  <si>
    <t>Vrsta ispusta</t>
  </si>
  <si>
    <t>Električni stupanj djelovanja</t>
  </si>
  <si>
    <t>Podaci o ispustu/uređaja</t>
  </si>
  <si>
    <t xml:space="preserve">Nazivna toplinska snaga </t>
  </si>
  <si>
    <t>El. kapacitet</t>
  </si>
  <si>
    <t>Period rada</t>
  </si>
  <si>
    <t xml:space="preserve">Gorivo </t>
  </si>
  <si>
    <t>ZEMNI ILI PRIRODNI PLIN</t>
  </si>
  <si>
    <t>TEKUĆE GORIVO</t>
  </si>
  <si>
    <t>TEŠKO LOŽIVO ULJE</t>
  </si>
  <si>
    <t>LUEL</t>
  </si>
  <si>
    <t>UGLJEN</t>
  </si>
  <si>
    <t>Metoda izračuna</t>
  </si>
  <si>
    <t>Donja toplinska vrijednost</t>
  </si>
  <si>
    <t>Gornja toplinska vrijednost</t>
  </si>
  <si>
    <t>Wobbe-indeks</t>
  </si>
  <si>
    <t>Stehiomet.kol. zraka potrebna za izgaranje</t>
  </si>
  <si>
    <t>Potrebna kol. suhog zraka</t>
  </si>
  <si>
    <t>suhi</t>
  </si>
  <si>
    <t>mokri</t>
  </si>
  <si>
    <t>Utrošak energije</t>
  </si>
  <si>
    <t>Utrošak goriva</t>
  </si>
  <si>
    <t>Primjena goriva</t>
  </si>
  <si>
    <t>Prosječan utrošak goriva</t>
  </si>
  <si>
    <t>Postotak fosilnog goriva</t>
  </si>
  <si>
    <t>za prodaju</t>
  </si>
  <si>
    <t>dimni plinovi</t>
  </si>
  <si>
    <t>Stehiomet.protok dimnih plinova</t>
  </si>
  <si>
    <t>Stehiomet.protok dimnih plinova (suhi)</t>
  </si>
  <si>
    <t>Količina emisije</t>
  </si>
  <si>
    <t>Protok dimnih plinova (suhi)</t>
  </si>
  <si>
    <t>Protok dimnih plinova (mokri)</t>
  </si>
  <si>
    <t>Protok plina (ostali suhi plinovi)</t>
  </si>
  <si>
    <t>Unos vrijednosti emisije</t>
  </si>
  <si>
    <t xml:space="preserve">Test provjere </t>
  </si>
  <si>
    <t>Izmijeni podatke o plinovitom gorivu</t>
  </si>
  <si>
    <t>Izmijeni podatke o tekućem gorivu</t>
  </si>
  <si>
    <t>Izmijeni podatke o krutom gorivu</t>
  </si>
  <si>
    <t>sati/god.</t>
  </si>
  <si>
    <t>Ukupno</t>
  </si>
  <si>
    <t>Nm3/god.</t>
  </si>
  <si>
    <t>kg/god.</t>
  </si>
  <si>
    <t>Nm3/h</t>
  </si>
  <si>
    <t>kg/h</t>
  </si>
  <si>
    <t>TJ/god.</t>
  </si>
  <si>
    <t>t/god.</t>
  </si>
  <si>
    <t>t/h</t>
  </si>
  <si>
    <t>kt/god.</t>
  </si>
  <si>
    <t>na/u</t>
  </si>
  <si>
    <t>Valjanost</t>
  </si>
  <si>
    <t>DANI/TJEDAN</t>
  </si>
  <si>
    <t>SATI/DAN</t>
  </si>
  <si>
    <t>KOTAO</t>
  </si>
  <si>
    <t>KOTAO PARNE TURBINE</t>
  </si>
  <si>
    <t>LOŽIŠTE</t>
  </si>
  <si>
    <t>PLINSKA TURBINA</t>
  </si>
  <si>
    <t>MOTOR SA UNUTARNJIM IZGARANJEM</t>
  </si>
  <si>
    <t>KOMBINIRANA EL./PLINSKA TURBINA</t>
  </si>
  <si>
    <t>KOMBINIRANI EL./PLINSKI MOTOR</t>
  </si>
  <si>
    <t>OSTALO</t>
  </si>
  <si>
    <t>Max. učinkovitost</t>
  </si>
  <si>
    <t>Min. učinkovitost</t>
  </si>
  <si>
    <t>red</t>
  </si>
  <si>
    <t>kolona</t>
  </si>
  <si>
    <t>vrsta goriva</t>
  </si>
  <si>
    <t>NEMA</t>
  </si>
  <si>
    <t>% fosilnog goriva</t>
  </si>
  <si>
    <t xml:space="preserve">Stehiomet.protok dimnih plinova </t>
  </si>
  <si>
    <t xml:space="preserve">Stoichiometric flue gas flow </t>
  </si>
  <si>
    <t>odstupanje</t>
  </si>
  <si>
    <t>jedinica</t>
  </si>
  <si>
    <t>IZGARANJE</t>
  </si>
  <si>
    <t>PRODANO</t>
  </si>
  <si>
    <t>PRAŠINA</t>
  </si>
  <si>
    <t>Rezultat</t>
  </si>
  <si>
    <t>Max. nastanak pare</t>
  </si>
  <si>
    <t>Nastala para</t>
  </si>
  <si>
    <t>nevažeće/nepoznato</t>
  </si>
  <si>
    <t>Izbor</t>
  </si>
  <si>
    <t>Ukupno vrijeme rada</t>
  </si>
  <si>
    <t>Izvještaj</t>
  </si>
  <si>
    <t>Max.koncentracija količine emisija</t>
  </si>
  <si>
    <t>koncentracija</t>
  </si>
  <si>
    <t>relativno</t>
  </si>
  <si>
    <t>u % teoretske vrijednosti</t>
  </si>
  <si>
    <t>Sumporni dioksid</t>
  </si>
  <si>
    <t>Helij</t>
  </si>
  <si>
    <t>Sumporovodik *</t>
  </si>
  <si>
    <t>Voda (vodena para)</t>
  </si>
  <si>
    <t>Dušik</t>
  </si>
  <si>
    <t>Kisik</t>
  </si>
  <si>
    <t>Ugljikov monoksid</t>
  </si>
  <si>
    <t>Ugljikov dioksid</t>
  </si>
  <si>
    <t>Etin *</t>
  </si>
  <si>
    <t>Vodik</t>
  </si>
  <si>
    <t>2-metilpropan</t>
  </si>
  <si>
    <t>n-butan</t>
  </si>
  <si>
    <t>2,2-dimetilpropan</t>
  </si>
  <si>
    <t>2-metilbutan</t>
  </si>
  <si>
    <t>n-pentan</t>
  </si>
  <si>
    <t>Ciklopentan *</t>
  </si>
  <si>
    <t>2,2-dimetilbutan</t>
  </si>
  <si>
    <t>2,3-dimetilbutan</t>
  </si>
  <si>
    <t>3-metilpentan</t>
  </si>
  <si>
    <t>Cikloheksan</t>
  </si>
  <si>
    <t>n-heksan</t>
  </si>
  <si>
    <t>2-metilheksan</t>
  </si>
  <si>
    <t>3-metilheksan</t>
  </si>
  <si>
    <t>n-heptan</t>
  </si>
  <si>
    <t>Metilcikloheksan</t>
  </si>
  <si>
    <t>2-metilheptan *</t>
  </si>
  <si>
    <t>2,2,4-trimetilpentan</t>
  </si>
  <si>
    <t>n-oktan</t>
  </si>
  <si>
    <t>(*: tvar nije spomenuta u ISO 6976)</t>
  </si>
  <si>
    <t>Molarna masa</t>
  </si>
  <si>
    <t>Stlačivost</t>
  </si>
  <si>
    <t>Molarni volumen temeljen na stlačivosti</t>
  </si>
  <si>
    <t>mol C/mol goriva</t>
  </si>
  <si>
    <t>mol H/mol goriva</t>
  </si>
  <si>
    <t>mol O/mol goriva</t>
  </si>
  <si>
    <t>mol N/mol goriva</t>
  </si>
  <si>
    <t>mol S/mol goriva</t>
  </si>
  <si>
    <t>Dušična osnova goriva</t>
  </si>
  <si>
    <t>Količinski udio u mol %</t>
  </si>
  <si>
    <t>Gustoća</t>
  </si>
  <si>
    <t>Relativna gustoća</t>
  </si>
  <si>
    <t>Stehiometrijsko izgaranje</t>
  </si>
  <si>
    <t>Potrebno kisika (mol/mol)</t>
  </si>
  <si>
    <t>Potrebno kisika</t>
  </si>
  <si>
    <t>C (maseni udio %)</t>
  </si>
  <si>
    <t>H (maseni udio %)</t>
  </si>
  <si>
    <t>N (maseni udio %)</t>
  </si>
  <si>
    <t>S (maseni udio %)</t>
  </si>
  <si>
    <t>Ash (maseni udio %)</t>
  </si>
  <si>
    <t>O (maseni udio %)</t>
  </si>
  <si>
    <t>C (maseni udio %, suhi)</t>
  </si>
  <si>
    <t>H (maseni udio %, suhi)</t>
  </si>
  <si>
    <t>N (maseni udio %, suhi)</t>
  </si>
  <si>
    <t>S (maseni udio %, suhi)</t>
  </si>
  <si>
    <t>O (maseni udio %, suhi)</t>
  </si>
  <si>
    <t>Ash (maseni udio %, suhi)</t>
  </si>
  <si>
    <t>Vlažnost</t>
  </si>
  <si>
    <r>
      <t xml:space="preserve">„ „ </t>
    </r>
    <r>
      <rPr>
        <sz val="8"/>
        <rFont val="Arial"/>
        <family val="2"/>
      </rPr>
      <t>po pojedinačnom molarnom volumenu</t>
    </r>
  </si>
  <si>
    <t xml:space="preserve">struktura </t>
  </si>
  <si>
    <t>LF1</t>
  </si>
  <si>
    <t>min</t>
  </si>
  <si>
    <t>max</t>
  </si>
  <si>
    <t>kJ/kg</t>
  </si>
  <si>
    <t>kJ/Nm3</t>
  </si>
  <si>
    <t>Vrsta</t>
  </si>
  <si>
    <t>Koncentracija u suhim dimnim plinovima</t>
  </si>
  <si>
    <t>Validatietest voor emissies naar lucht</t>
  </si>
  <si>
    <t xml:space="preserve">Deze versie is te gebruiken tot </t>
  </si>
  <si>
    <t>This version can be used until</t>
  </si>
  <si>
    <t>Deze versie is verlopen; download een nieuwe versie van www.InfoMil.nl</t>
  </si>
  <si>
    <t>This version is outdated, download the last version from www.InfoMil.nl</t>
  </si>
  <si>
    <t>Although this spreadsheet has been carefully developed, mistakes in the calculated values can not be excluded.</t>
  </si>
  <si>
    <t>Ondanks de zorgvuldigheid waarmee dit werkblad is opgesteld, zijn fouten niet uit te sluiten.</t>
  </si>
  <si>
    <t>Pomimo iż niniejszy arkusz został przygotowany ze szczególną starannością, nie można wykluczyć błędów kalkulacyjnych.</t>
  </si>
  <si>
    <t>přestože byl tento tabulkový procesor pečlivě připravován, nelze vyloučit chyby ve vypočítaných hodnotách.</t>
  </si>
  <si>
    <t>Въпреки че тази програма е била разработен много внимателно, може да има допуснати някои грешки в изчислените стойности.</t>
  </si>
  <si>
    <t>Ova verzija je pažljivo razvijena, nepredviđene pogreške su moguće.</t>
  </si>
  <si>
    <t>Version</t>
  </si>
  <si>
    <t>Wersja</t>
  </si>
  <si>
    <t xml:space="preserve">Verze </t>
  </si>
  <si>
    <t xml:space="preserve">Вариант </t>
  </si>
  <si>
    <t xml:space="preserve">Verzija </t>
  </si>
  <si>
    <t>Versie</t>
  </si>
  <si>
    <t>GF1</t>
  </si>
  <si>
    <t>°C</t>
  </si>
  <si>
    <t>mol%</t>
  </si>
  <si>
    <t>Substance</t>
  </si>
  <si>
    <t>Temperature</t>
  </si>
  <si>
    <t>Temperatuur</t>
  </si>
  <si>
    <t>Flue gas flow</t>
  </si>
  <si>
    <t>Rookgasdebiet</t>
  </si>
  <si>
    <t>Przepływ spalin</t>
  </si>
  <si>
    <t>Průtok kouřového plynu</t>
  </si>
  <si>
    <t>Дебит на димни газове</t>
  </si>
  <si>
    <t>Protok dimnih plinova</t>
  </si>
  <si>
    <t>m3/s</t>
  </si>
  <si>
    <t>Cross section duct</t>
  </si>
  <si>
    <t>Dwarsdoorsnede afgaskanaal</t>
  </si>
  <si>
    <t>m2</t>
  </si>
  <si>
    <t>calculated</t>
  </si>
  <si>
    <t>berekend</t>
  </si>
  <si>
    <t>Dewpoint</t>
  </si>
  <si>
    <t>Dauwpunt</t>
  </si>
  <si>
    <t>Nm3: m3 onder standaard condities</t>
  </si>
  <si>
    <t>H2O</t>
  </si>
  <si>
    <t>GJ/hour</t>
  </si>
  <si>
    <t>GJ/uur</t>
  </si>
  <si>
    <t>GJ/godz</t>
  </si>
  <si>
    <t>GJ/hod</t>
  </si>
  <si>
    <t>GJ/час</t>
  </si>
  <si>
    <t>GJ/h</t>
  </si>
  <si>
    <t>Calculation of emissions</t>
  </si>
  <si>
    <t>Berekening van emissies</t>
  </si>
  <si>
    <t>Nu nog geldig</t>
  </si>
  <si>
    <t>menu optie</t>
  </si>
  <si>
    <t>Clear data</t>
  </si>
  <si>
    <t>Wis invoer</t>
  </si>
  <si>
    <t>Flue gas velocity</t>
  </si>
  <si>
    <t>Afgassnelheid</t>
  </si>
  <si>
    <t>m/s</t>
  </si>
  <si>
    <t>tuny/hod</t>
  </si>
  <si>
    <t>tоns/час</t>
  </si>
  <si>
    <t>2016</t>
  </si>
  <si>
    <t>bij O2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</si>
</sst>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&quot;F&quot;\ * #,##0_-;_-&quot;F&quot;\ * #,##0\-;_-&quot;F&quot;\ * &quot;-&quot;_-;_-@_-"/>
    <numFmt numFmtId="181" formatCode="_-&quot;F&quot;\ * #,##0.00_-;_-&quot;F&quot;\ * #,##0.00\-;_-&quot;F&quot;\ * &quot;-&quot;??_-;_-@_-"/>
    <numFmt numFmtId="182" formatCode="0.00_)"/>
    <numFmt numFmtId="183" formatCode="0_)"/>
    <numFmt numFmtId="184" formatCode="0.000_)"/>
    <numFmt numFmtId="185" formatCode="0.0_)"/>
    <numFmt numFmtId="186" formatCode=";;;"/>
    <numFmt numFmtId="187" formatCode="0.000"/>
    <numFmt numFmtId="188" formatCode="0.0"/>
    <numFmt numFmtId="189" formatCode="0.0000"/>
    <numFmt numFmtId="190" formatCode="0.000%"/>
    <numFmt numFmtId="191" formatCode="d/mm/yy;@"/>
    <numFmt numFmtId="192" formatCode="[$-413]dddd\ d\ mmmm\ yyyy"/>
    <numFmt numFmtId="193" formatCode="[&lt;10]0.00;[&gt;1000]0;0.0"/>
    <numFmt numFmtId="194" formatCode="[&lt;0.01]\&lt;0.0\1;[&gt;10]0.0;0.00"/>
    <numFmt numFmtId="195" formatCode="[&lt;1]0.00;0.0"/>
    <numFmt numFmtId="196" formatCode="[&lt;1]0.00;[&gt;100]0;0.0"/>
    <numFmt numFmtId="197" formatCode="0.00000"/>
    <numFmt numFmtId="198" formatCode="0.000000"/>
  </numFmts>
  <fonts count="56">
    <font>
      <sz val="10"/>
      <name val="Courier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20">
    <xf numFmtId="182" fontId="0" fillId="0" borderId="0" xfId="0" applyAlignment="1">
      <alignment/>
    </xf>
    <xf numFmtId="182" fontId="5" fillId="0" borderId="0" xfId="0" applyFont="1" applyAlignment="1">
      <alignment/>
    </xf>
    <xf numFmtId="182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 horizontal="center"/>
    </xf>
    <xf numFmtId="9" fontId="5" fillId="0" borderId="0" xfId="55" applyFont="1" applyAlignment="1">
      <alignment horizontal="center"/>
    </xf>
    <xf numFmtId="9" fontId="5" fillId="0" borderId="0" xfId="55" applyNumberFormat="1" applyFont="1" applyAlignment="1">
      <alignment horizontal="center"/>
    </xf>
    <xf numFmtId="182" fontId="5" fillId="0" borderId="10" xfId="0" applyFont="1" applyBorder="1" applyAlignment="1">
      <alignment horizontal="center"/>
    </xf>
    <xf numFmtId="182" fontId="5" fillId="0" borderId="11" xfId="0" applyFont="1" applyBorder="1" applyAlignment="1">
      <alignment horizontal="center"/>
    </xf>
    <xf numFmtId="182" fontId="5" fillId="0" borderId="12" xfId="0" applyFont="1" applyBorder="1" applyAlignment="1">
      <alignment horizontal="center"/>
    </xf>
    <xf numFmtId="183" fontId="5" fillId="0" borderId="13" xfId="0" applyNumberFormat="1" applyFont="1" applyBorder="1" applyAlignment="1">
      <alignment horizontal="center"/>
    </xf>
    <xf numFmtId="182" fontId="5" fillId="0" borderId="14" xfId="0" applyFon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2" fontId="5" fillId="0" borderId="16" xfId="0" applyFont="1" applyBorder="1" applyAlignment="1">
      <alignment horizontal="center"/>
    </xf>
    <xf numFmtId="182" fontId="5" fillId="0" borderId="17" xfId="0" applyFont="1" applyBorder="1" applyAlignment="1">
      <alignment horizontal="center"/>
    </xf>
    <xf numFmtId="186" fontId="5" fillId="33" borderId="0" xfId="0" applyNumberFormat="1" applyFont="1" applyFill="1" applyAlignment="1">
      <alignment vertical="center"/>
    </xf>
    <xf numFmtId="182" fontId="5" fillId="33" borderId="0" xfId="0" applyFont="1" applyFill="1" applyAlignment="1">
      <alignment/>
    </xf>
    <xf numFmtId="182" fontId="5" fillId="33" borderId="0" xfId="0" applyFont="1" applyFill="1" applyAlignment="1">
      <alignment horizontal="right"/>
    </xf>
    <xf numFmtId="182" fontId="5" fillId="33" borderId="0" xfId="0" applyFont="1" applyFill="1" applyAlignment="1">
      <alignment vertical="center"/>
    </xf>
    <xf numFmtId="182" fontId="5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right"/>
    </xf>
    <xf numFmtId="182" fontId="5" fillId="33" borderId="0" xfId="0" applyFont="1" applyFill="1" applyBorder="1" applyAlignment="1">
      <alignment horizontal="right"/>
    </xf>
    <xf numFmtId="182" fontId="5" fillId="33" borderId="0" xfId="0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2" fontId="5" fillId="33" borderId="0" xfId="0" applyFont="1" applyFill="1" applyBorder="1" applyAlignment="1" applyProtection="1">
      <alignment horizontal="right"/>
      <protection/>
    </xf>
    <xf numFmtId="187" fontId="5" fillId="33" borderId="0" xfId="0" applyNumberFormat="1" applyFont="1" applyFill="1" applyAlignment="1">
      <alignment/>
    </xf>
    <xf numFmtId="189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82" fontId="5" fillId="33" borderId="0" xfId="0" applyFont="1" applyFill="1" applyAlignment="1" applyProtection="1">
      <alignment/>
      <protection/>
    </xf>
    <xf numFmtId="182" fontId="5" fillId="33" borderId="0" xfId="0" applyFont="1" applyFill="1" applyAlignment="1" applyProtection="1">
      <alignment horizontal="right"/>
      <protection/>
    </xf>
    <xf numFmtId="182" fontId="5" fillId="33" borderId="0" xfId="0" applyFont="1" applyFill="1" applyBorder="1" applyAlignment="1" applyProtection="1">
      <alignment/>
      <protection/>
    </xf>
    <xf numFmtId="182" fontId="13" fillId="33" borderId="18" xfId="0" applyFont="1" applyFill="1" applyBorder="1" applyAlignment="1">
      <alignment vertical="center"/>
    </xf>
    <xf numFmtId="186" fontId="12" fillId="33" borderId="0" xfId="0" applyNumberFormat="1" applyFont="1" applyFill="1" applyAlignment="1">
      <alignment vertical="center"/>
    </xf>
    <xf numFmtId="182" fontId="12" fillId="33" borderId="0" xfId="0" applyFont="1" applyFill="1" applyAlignment="1" applyProtection="1">
      <alignment/>
      <protection/>
    </xf>
    <xf numFmtId="182" fontId="12" fillId="33" borderId="0" xfId="0" applyFont="1" applyFill="1" applyAlignment="1">
      <alignment/>
    </xf>
    <xf numFmtId="0" fontId="12" fillId="34" borderId="19" xfId="0" applyNumberFormat="1" applyFont="1" applyFill="1" applyBorder="1" applyAlignment="1" applyProtection="1">
      <alignment horizontal="right"/>
      <protection locked="0"/>
    </xf>
    <xf numFmtId="0" fontId="12" fillId="34" borderId="20" xfId="0" applyNumberFormat="1" applyFont="1" applyFill="1" applyBorder="1" applyAlignment="1" applyProtection="1">
      <alignment horizontal="right"/>
      <protection locked="0"/>
    </xf>
    <xf numFmtId="182" fontId="12" fillId="34" borderId="17" xfId="0" applyFont="1" applyFill="1" applyBorder="1" applyAlignment="1" applyProtection="1">
      <alignment/>
      <protection locked="0"/>
    </xf>
    <xf numFmtId="182" fontId="12" fillId="34" borderId="21" xfId="0" applyFont="1" applyFill="1" applyBorder="1" applyAlignment="1" applyProtection="1">
      <alignment/>
      <protection locked="0"/>
    </xf>
    <xf numFmtId="1" fontId="12" fillId="34" borderId="22" xfId="0" applyNumberFormat="1" applyFont="1" applyFill="1" applyBorder="1" applyAlignment="1" applyProtection="1">
      <alignment horizontal="right"/>
      <protection locked="0"/>
    </xf>
    <xf numFmtId="1" fontId="12" fillId="34" borderId="23" xfId="0" applyNumberFormat="1" applyFont="1" applyFill="1" applyBorder="1" applyAlignment="1" applyProtection="1">
      <alignment horizontal="right"/>
      <protection locked="0"/>
    </xf>
    <xf numFmtId="2" fontId="12" fillId="34" borderId="17" xfId="0" applyNumberFormat="1" applyFont="1" applyFill="1" applyBorder="1" applyAlignment="1" applyProtection="1">
      <alignment horizontal="right"/>
      <protection locked="0"/>
    </xf>
    <xf numFmtId="2" fontId="12" fillId="34" borderId="21" xfId="0" applyNumberFormat="1" applyFont="1" applyFill="1" applyBorder="1" applyAlignment="1" applyProtection="1">
      <alignment horizontal="right"/>
      <protection locked="0"/>
    </xf>
    <xf numFmtId="2" fontId="12" fillId="34" borderId="22" xfId="0" applyNumberFormat="1" applyFont="1" applyFill="1" applyBorder="1" applyAlignment="1" applyProtection="1">
      <alignment horizontal="right"/>
      <protection locked="0"/>
    </xf>
    <xf numFmtId="2" fontId="12" fillId="34" borderId="23" xfId="0" applyNumberFormat="1" applyFont="1" applyFill="1" applyBorder="1" applyAlignment="1" applyProtection="1">
      <alignment horizontal="right"/>
      <protection locked="0"/>
    </xf>
    <xf numFmtId="10" fontId="12" fillId="34" borderId="17" xfId="0" applyNumberFormat="1" applyFont="1" applyFill="1" applyBorder="1" applyAlignment="1" applyProtection="1">
      <alignment/>
      <protection locked="0"/>
    </xf>
    <xf numFmtId="10" fontId="12" fillId="34" borderId="21" xfId="0" applyNumberFormat="1" applyFont="1" applyFill="1" applyBorder="1" applyAlignment="1" applyProtection="1">
      <alignment/>
      <protection locked="0"/>
    </xf>
    <xf numFmtId="10" fontId="12" fillId="34" borderId="22" xfId="0" applyNumberFormat="1" applyFont="1" applyFill="1" applyBorder="1" applyAlignment="1" applyProtection="1">
      <alignment/>
      <protection locked="0"/>
    </xf>
    <xf numFmtId="10" fontId="12" fillId="34" borderId="23" xfId="0" applyNumberFormat="1" applyFont="1" applyFill="1" applyBorder="1" applyAlignment="1" applyProtection="1">
      <alignment/>
      <protection locked="0"/>
    </xf>
    <xf numFmtId="182" fontId="12" fillId="33" borderId="0" xfId="0" applyFont="1" applyFill="1" applyAlignment="1" applyProtection="1">
      <alignment horizontal="right"/>
      <protection/>
    </xf>
    <xf numFmtId="190" fontId="12" fillId="34" borderId="17" xfId="0" applyNumberFormat="1" applyFont="1" applyFill="1" applyBorder="1" applyAlignment="1" applyProtection="1">
      <alignment/>
      <protection locked="0"/>
    </xf>
    <xf numFmtId="184" fontId="12" fillId="34" borderId="17" xfId="0" applyNumberFormat="1" applyFont="1" applyFill="1" applyBorder="1" applyAlignment="1" applyProtection="1">
      <alignment/>
      <protection locked="0"/>
    </xf>
    <xf numFmtId="182" fontId="5" fillId="0" borderId="0" xfId="0" applyFont="1" applyFill="1" applyAlignment="1">
      <alignment horizontal="center"/>
    </xf>
    <xf numFmtId="182" fontId="16" fillId="0" borderId="0" xfId="0" applyFont="1" applyAlignment="1">
      <alignment horizontal="left" vertical="center" wrapText="1"/>
    </xf>
    <xf numFmtId="182" fontId="17" fillId="35" borderId="0" xfId="0" applyFont="1" applyFill="1" applyAlignment="1">
      <alignment horizontal="left" vertical="center" wrapText="1"/>
    </xf>
    <xf numFmtId="182" fontId="16" fillId="0" borderId="0" xfId="0" applyFont="1" applyFill="1" applyAlignment="1" applyProtection="1">
      <alignment horizontal="left" vertical="center" wrapText="1"/>
      <protection locked="0"/>
    </xf>
    <xf numFmtId="182" fontId="17" fillId="35" borderId="0" xfId="0" applyFont="1" applyFill="1" applyAlignment="1" applyProtection="1">
      <alignment horizontal="left" vertical="center" wrapText="1"/>
      <protection/>
    </xf>
    <xf numFmtId="182" fontId="5" fillId="33" borderId="0" xfId="0" applyFont="1" applyFill="1" applyAlignment="1" applyProtection="1">
      <alignment vertical="center"/>
      <protection/>
    </xf>
    <xf numFmtId="182" fontId="5" fillId="33" borderId="0" xfId="0" applyFont="1" applyFill="1" applyAlignment="1" applyProtection="1">
      <alignment vertical="center" wrapText="1"/>
      <protection/>
    </xf>
    <xf numFmtId="188" fontId="12" fillId="34" borderId="0" xfId="0" applyNumberFormat="1" applyFont="1" applyFill="1" applyBorder="1" applyAlignment="1" applyProtection="1">
      <alignment vertical="center"/>
      <protection locked="0"/>
    </xf>
    <xf numFmtId="182" fontId="12" fillId="36" borderId="12" xfId="0" applyFont="1" applyFill="1" applyBorder="1" applyAlignment="1">
      <alignment vertical="center"/>
    </xf>
    <xf numFmtId="185" fontId="12" fillId="36" borderId="17" xfId="0" applyNumberFormat="1" applyFont="1" applyFill="1" applyBorder="1" applyAlignment="1">
      <alignment vertical="center"/>
    </xf>
    <xf numFmtId="182" fontId="12" fillId="36" borderId="0" xfId="0" applyFont="1" applyFill="1" applyBorder="1" applyAlignment="1">
      <alignment vertical="center"/>
    </xf>
    <xf numFmtId="182" fontId="12" fillId="36" borderId="0" xfId="0" applyFont="1" applyFill="1" applyBorder="1" applyAlignment="1" applyProtection="1">
      <alignment vertical="center"/>
      <protection locked="0"/>
    </xf>
    <xf numFmtId="183" fontId="12" fillId="36" borderId="17" xfId="0" applyNumberFormat="1" applyFont="1" applyFill="1" applyBorder="1" applyAlignment="1">
      <alignment vertical="center"/>
    </xf>
    <xf numFmtId="182" fontId="12" fillId="36" borderId="13" xfId="0" applyFont="1" applyFill="1" applyBorder="1" applyAlignment="1">
      <alignment vertical="center"/>
    </xf>
    <xf numFmtId="182" fontId="12" fillId="36" borderId="14" xfId="0" applyFont="1" applyFill="1" applyBorder="1" applyAlignment="1">
      <alignment vertical="center"/>
    </xf>
    <xf numFmtId="182" fontId="12" fillId="36" borderId="24" xfId="0" applyFont="1" applyFill="1" applyBorder="1" applyAlignment="1">
      <alignment vertical="center"/>
    </xf>
    <xf numFmtId="182" fontId="12" fillId="36" borderId="15" xfId="0" applyFont="1" applyFill="1" applyBorder="1" applyAlignment="1">
      <alignment vertical="center"/>
    </xf>
    <xf numFmtId="183" fontId="12" fillId="36" borderId="17" xfId="0" applyNumberFormat="1" applyFont="1" applyFill="1" applyBorder="1" applyAlignment="1" applyProtection="1">
      <alignment horizontal="center"/>
      <protection locked="0"/>
    </xf>
    <xf numFmtId="182" fontId="12" fillId="36" borderId="25" xfId="0" applyFont="1" applyFill="1" applyBorder="1" applyAlignment="1" applyProtection="1">
      <alignment vertical="center"/>
      <protection locked="0"/>
    </xf>
    <xf numFmtId="183" fontId="12" fillId="36" borderId="0" xfId="0" applyNumberFormat="1" applyFont="1" applyFill="1" applyBorder="1" applyAlignment="1" applyProtection="1">
      <alignment horizontal="center"/>
      <protection locked="0"/>
    </xf>
    <xf numFmtId="182" fontId="12" fillId="36" borderId="13" xfId="0" applyFont="1" applyFill="1" applyBorder="1" applyAlignment="1" applyProtection="1">
      <alignment vertical="center"/>
      <protection locked="0"/>
    </xf>
    <xf numFmtId="182" fontId="12" fillId="36" borderId="17" xfId="0" applyFont="1" applyFill="1" applyBorder="1" applyAlignment="1">
      <alignment vertical="center"/>
    </xf>
    <xf numFmtId="182" fontId="12" fillId="36" borderId="25" xfId="0" applyFont="1" applyFill="1" applyBorder="1" applyAlignment="1">
      <alignment vertical="center"/>
    </xf>
    <xf numFmtId="182" fontId="12" fillId="36" borderId="26" xfId="0" applyFont="1" applyFill="1" applyBorder="1" applyAlignment="1">
      <alignment vertical="center"/>
    </xf>
    <xf numFmtId="182" fontId="12" fillId="36" borderId="22" xfId="0" applyFont="1" applyFill="1" applyBorder="1" applyAlignment="1">
      <alignment vertical="center"/>
    </xf>
    <xf numFmtId="182" fontId="12" fillId="36" borderId="27" xfId="0" applyFont="1" applyFill="1" applyBorder="1" applyAlignment="1">
      <alignment vertical="center"/>
    </xf>
    <xf numFmtId="182" fontId="12" fillId="36" borderId="28" xfId="0" applyFont="1" applyFill="1" applyBorder="1" applyAlignment="1">
      <alignment vertical="center"/>
    </xf>
    <xf numFmtId="11" fontId="12" fillId="36" borderId="22" xfId="0" applyNumberFormat="1" applyFont="1" applyFill="1" applyBorder="1" applyAlignment="1">
      <alignment vertical="center"/>
    </xf>
    <xf numFmtId="182" fontId="12" fillId="36" borderId="29" xfId="0" applyFont="1" applyFill="1" applyBorder="1" applyAlignment="1">
      <alignment vertical="center"/>
    </xf>
    <xf numFmtId="182" fontId="12" fillId="36" borderId="17" xfId="0" applyFont="1" applyFill="1" applyBorder="1" applyAlignment="1" applyProtection="1">
      <alignment vertical="center"/>
      <protection locked="0"/>
    </xf>
    <xf numFmtId="11" fontId="12" fillId="36" borderId="17" xfId="0" applyNumberFormat="1" applyFont="1" applyFill="1" applyBorder="1" applyAlignment="1">
      <alignment vertical="center"/>
    </xf>
    <xf numFmtId="11" fontId="12" fillId="36" borderId="0" xfId="0" applyNumberFormat="1" applyFont="1" applyFill="1" applyBorder="1" applyAlignment="1">
      <alignment vertical="center"/>
    </xf>
    <xf numFmtId="1" fontId="12" fillId="36" borderId="22" xfId="0" applyNumberFormat="1" applyFont="1" applyFill="1" applyBorder="1" applyAlignment="1">
      <alignment vertical="center"/>
    </xf>
    <xf numFmtId="188" fontId="12" fillId="36" borderId="17" xfId="0" applyNumberFormat="1" applyFont="1" applyFill="1" applyBorder="1" applyAlignment="1">
      <alignment vertical="center"/>
    </xf>
    <xf numFmtId="188" fontId="12" fillId="36" borderId="22" xfId="0" applyNumberFormat="1" applyFont="1" applyFill="1" applyBorder="1" applyAlignment="1">
      <alignment vertical="center"/>
    </xf>
    <xf numFmtId="1" fontId="12" fillId="36" borderId="17" xfId="0" applyNumberFormat="1" applyFont="1" applyFill="1" applyBorder="1" applyAlignment="1">
      <alignment vertical="center"/>
    </xf>
    <xf numFmtId="1" fontId="12" fillId="36" borderId="0" xfId="0" applyNumberFormat="1" applyFont="1" applyFill="1" applyBorder="1" applyAlignment="1">
      <alignment vertical="center"/>
    </xf>
    <xf numFmtId="11" fontId="12" fillId="36" borderId="30" xfId="0" applyNumberFormat="1" applyFont="1" applyFill="1" applyBorder="1" applyAlignment="1">
      <alignment vertical="center"/>
    </xf>
    <xf numFmtId="182" fontId="12" fillId="36" borderId="31" xfId="0" applyFont="1" applyFill="1" applyBorder="1" applyAlignment="1">
      <alignment vertical="center"/>
    </xf>
    <xf numFmtId="188" fontId="12" fillId="36" borderId="30" xfId="0" applyNumberFormat="1" applyFont="1" applyFill="1" applyBorder="1" applyAlignment="1">
      <alignment vertical="center"/>
    </xf>
    <xf numFmtId="182" fontId="12" fillId="36" borderId="10" xfId="0" applyFont="1" applyFill="1" applyBorder="1" applyAlignment="1">
      <alignment vertical="center"/>
    </xf>
    <xf numFmtId="9" fontId="12" fillId="36" borderId="0" xfId="55" applyFont="1" applyFill="1" applyBorder="1" applyAlignment="1">
      <alignment horizontal="left" vertical="center"/>
    </xf>
    <xf numFmtId="182" fontId="14" fillId="36" borderId="13" xfId="0" applyFont="1" applyFill="1" applyBorder="1" applyAlignment="1">
      <alignment vertical="center"/>
    </xf>
    <xf numFmtId="183" fontId="12" fillId="36" borderId="0" xfId="0" applyNumberFormat="1" applyFont="1" applyFill="1" applyBorder="1" applyAlignment="1">
      <alignment horizontal="left" vertical="center"/>
    </xf>
    <xf numFmtId="182" fontId="14" fillId="36" borderId="13" xfId="0" applyFont="1" applyFill="1" applyBorder="1" applyAlignment="1">
      <alignment horizontal="left" vertical="center" wrapText="1"/>
    </xf>
    <xf numFmtId="182" fontId="14" fillId="36" borderId="15" xfId="0" applyFont="1" applyFill="1" applyBorder="1" applyAlignment="1">
      <alignment vertical="center"/>
    </xf>
    <xf numFmtId="182" fontId="12" fillId="36" borderId="19" xfId="0" applyFont="1" applyFill="1" applyBorder="1" applyAlignment="1">
      <alignment/>
    </xf>
    <xf numFmtId="182" fontId="12" fillId="36" borderId="32" xfId="0" applyFont="1" applyFill="1" applyBorder="1" applyAlignment="1">
      <alignment horizontal="right"/>
    </xf>
    <xf numFmtId="182" fontId="12" fillId="36" borderId="17" xfId="0" applyFont="1" applyFill="1" applyBorder="1" applyAlignment="1">
      <alignment/>
    </xf>
    <xf numFmtId="182" fontId="12" fillId="36" borderId="0" xfId="0" applyFont="1" applyFill="1" applyBorder="1" applyAlignment="1">
      <alignment horizontal="right"/>
    </xf>
    <xf numFmtId="182" fontId="12" fillId="36" borderId="22" xfId="0" applyFont="1" applyFill="1" applyBorder="1" applyAlignment="1">
      <alignment/>
    </xf>
    <xf numFmtId="182" fontId="12" fillId="36" borderId="28" xfId="0" applyFont="1" applyFill="1" applyBorder="1" applyAlignment="1">
      <alignment horizontal="right"/>
    </xf>
    <xf numFmtId="182" fontId="12" fillId="36" borderId="17" xfId="0" applyFont="1" applyFill="1" applyBorder="1" applyAlignment="1" applyProtection="1">
      <alignment/>
      <protection/>
    </xf>
    <xf numFmtId="182" fontId="12" fillId="36" borderId="0" xfId="0" applyFont="1" applyFill="1" applyBorder="1" applyAlignment="1" applyProtection="1">
      <alignment horizontal="right"/>
      <protection/>
    </xf>
    <xf numFmtId="2" fontId="12" fillId="36" borderId="17" xfId="0" applyNumberFormat="1" applyFont="1" applyFill="1" applyBorder="1" applyAlignment="1">
      <alignment horizontal="right"/>
    </xf>
    <xf numFmtId="2" fontId="12" fillId="36" borderId="21" xfId="0" applyNumberFormat="1" applyFont="1" applyFill="1" applyBorder="1" applyAlignment="1">
      <alignment horizontal="right"/>
    </xf>
    <xf numFmtId="188" fontId="12" fillId="36" borderId="17" xfId="0" applyNumberFormat="1" applyFont="1" applyFill="1" applyBorder="1" applyAlignment="1">
      <alignment/>
    </xf>
    <xf numFmtId="188" fontId="12" fillId="36" borderId="21" xfId="0" applyNumberFormat="1" applyFont="1" applyFill="1" applyBorder="1" applyAlignment="1">
      <alignment/>
    </xf>
    <xf numFmtId="187" fontId="12" fillId="36" borderId="17" xfId="0" applyNumberFormat="1" applyFont="1" applyFill="1" applyBorder="1" applyAlignment="1">
      <alignment horizontal="right"/>
    </xf>
    <xf numFmtId="187" fontId="12" fillId="36" borderId="21" xfId="0" applyNumberFormat="1" applyFont="1" applyFill="1" applyBorder="1" applyAlignment="1">
      <alignment horizontal="right"/>
    </xf>
    <xf numFmtId="187" fontId="12" fillId="36" borderId="17" xfId="0" applyNumberFormat="1" applyFont="1" applyFill="1" applyBorder="1" applyAlignment="1" applyProtection="1">
      <alignment horizontal="right"/>
      <protection/>
    </xf>
    <xf numFmtId="187" fontId="12" fillId="36" borderId="21" xfId="0" applyNumberFormat="1" applyFont="1" applyFill="1" applyBorder="1" applyAlignment="1" applyProtection="1">
      <alignment horizontal="right"/>
      <protection/>
    </xf>
    <xf numFmtId="2" fontId="12" fillId="36" borderId="22" xfId="0" applyNumberFormat="1" applyFont="1" applyFill="1" applyBorder="1" applyAlignment="1">
      <alignment horizontal="right"/>
    </xf>
    <xf numFmtId="2" fontId="12" fillId="36" borderId="23" xfId="0" applyNumberFormat="1" applyFont="1" applyFill="1" applyBorder="1" applyAlignment="1">
      <alignment horizontal="right"/>
    </xf>
    <xf numFmtId="10" fontId="12" fillId="36" borderId="17" xfId="0" applyNumberFormat="1" applyFont="1" applyFill="1" applyBorder="1" applyAlignment="1">
      <alignment/>
    </xf>
    <xf numFmtId="10" fontId="12" fillId="36" borderId="21" xfId="0" applyNumberFormat="1" applyFont="1" applyFill="1" applyBorder="1" applyAlignment="1">
      <alignment/>
    </xf>
    <xf numFmtId="189" fontId="12" fillId="36" borderId="22" xfId="0" applyNumberFormat="1" applyFont="1" applyFill="1" applyBorder="1" applyAlignment="1">
      <alignment/>
    </xf>
    <xf numFmtId="189" fontId="12" fillId="36" borderId="23" xfId="0" applyNumberFormat="1" applyFont="1" applyFill="1" applyBorder="1" applyAlignment="1">
      <alignment/>
    </xf>
    <xf numFmtId="189" fontId="12" fillId="36" borderId="19" xfId="0" applyNumberFormat="1" applyFont="1" applyFill="1" applyBorder="1" applyAlignment="1">
      <alignment/>
    </xf>
    <xf numFmtId="189" fontId="12" fillId="36" borderId="20" xfId="0" applyNumberFormat="1" applyFont="1" applyFill="1" applyBorder="1" applyAlignment="1">
      <alignment/>
    </xf>
    <xf numFmtId="189" fontId="12" fillId="36" borderId="17" xfId="0" applyNumberFormat="1" applyFont="1" applyFill="1" applyBorder="1" applyAlignment="1">
      <alignment/>
    </xf>
    <xf numFmtId="189" fontId="12" fillId="36" borderId="21" xfId="0" applyNumberFormat="1" applyFont="1" applyFill="1" applyBorder="1" applyAlignment="1">
      <alignment/>
    </xf>
    <xf numFmtId="2" fontId="12" fillId="36" borderId="17" xfId="0" applyNumberFormat="1" applyFont="1" applyFill="1" applyBorder="1" applyAlignment="1">
      <alignment/>
    </xf>
    <xf numFmtId="2" fontId="12" fillId="36" borderId="21" xfId="0" applyNumberFormat="1" applyFont="1" applyFill="1" applyBorder="1" applyAlignment="1">
      <alignment/>
    </xf>
    <xf numFmtId="189" fontId="12" fillId="36" borderId="17" xfId="0" applyNumberFormat="1" applyFont="1" applyFill="1" applyBorder="1" applyAlignment="1" applyProtection="1">
      <alignment/>
      <protection/>
    </xf>
    <xf numFmtId="182" fontId="12" fillId="36" borderId="28" xfId="0" applyFont="1" applyFill="1" applyBorder="1" applyAlignment="1" applyProtection="1">
      <alignment horizontal="right"/>
      <protection/>
    </xf>
    <xf numFmtId="182" fontId="12" fillId="36" borderId="22" xfId="0" applyFont="1" applyFill="1" applyBorder="1" applyAlignment="1" applyProtection="1">
      <alignment/>
      <protection/>
    </xf>
    <xf numFmtId="10" fontId="12" fillId="36" borderId="17" xfId="0" applyNumberFormat="1" applyFont="1" applyFill="1" applyBorder="1" applyAlignment="1" applyProtection="1">
      <alignment/>
      <protection/>
    </xf>
    <xf numFmtId="10" fontId="12" fillId="36" borderId="20" xfId="0" applyNumberFormat="1" applyFont="1" applyFill="1" applyBorder="1" applyAlignment="1" applyProtection="1">
      <alignment/>
      <protection/>
    </xf>
    <xf numFmtId="10" fontId="12" fillId="36" borderId="21" xfId="0" applyNumberFormat="1" applyFont="1" applyFill="1" applyBorder="1" applyAlignment="1" applyProtection="1">
      <alignment/>
      <protection/>
    </xf>
    <xf numFmtId="10" fontId="12" fillId="36" borderId="22" xfId="0" applyNumberFormat="1" applyFont="1" applyFill="1" applyBorder="1" applyAlignment="1" applyProtection="1">
      <alignment/>
      <protection/>
    </xf>
    <xf numFmtId="10" fontId="12" fillId="36" borderId="23" xfId="0" applyNumberFormat="1" applyFont="1" applyFill="1" applyBorder="1" applyAlignment="1" applyProtection="1">
      <alignment/>
      <protection/>
    </xf>
    <xf numFmtId="189" fontId="12" fillId="36" borderId="21" xfId="0" applyNumberFormat="1" applyFont="1" applyFill="1" applyBorder="1" applyAlignment="1" applyProtection="1">
      <alignment/>
      <protection/>
    </xf>
    <xf numFmtId="187" fontId="12" fillId="36" borderId="17" xfId="0" applyNumberFormat="1" applyFont="1" applyFill="1" applyBorder="1" applyAlignment="1" applyProtection="1">
      <alignment/>
      <protection/>
    </xf>
    <xf numFmtId="187" fontId="12" fillId="36" borderId="21" xfId="0" applyNumberFormat="1" applyFont="1" applyFill="1" applyBorder="1" applyAlignment="1" applyProtection="1">
      <alignment/>
      <protection/>
    </xf>
    <xf numFmtId="187" fontId="12" fillId="36" borderId="22" xfId="0" applyNumberFormat="1" applyFont="1" applyFill="1" applyBorder="1" applyAlignment="1" applyProtection="1">
      <alignment/>
      <protection/>
    </xf>
    <xf numFmtId="187" fontId="12" fillId="36" borderId="23" xfId="0" applyNumberFormat="1" applyFont="1" applyFill="1" applyBorder="1" applyAlignment="1" applyProtection="1">
      <alignment/>
      <protection/>
    </xf>
    <xf numFmtId="2" fontId="12" fillId="36" borderId="17" xfId="0" applyNumberFormat="1" applyFont="1" applyFill="1" applyBorder="1" applyAlignment="1" applyProtection="1">
      <alignment horizontal="right"/>
      <protection/>
    </xf>
    <xf numFmtId="2" fontId="12" fillId="36" borderId="21" xfId="0" applyNumberFormat="1" applyFont="1" applyFill="1" applyBorder="1" applyAlignment="1" applyProtection="1">
      <alignment horizontal="right"/>
      <protection/>
    </xf>
    <xf numFmtId="188" fontId="12" fillId="36" borderId="17" xfId="0" applyNumberFormat="1" applyFont="1" applyFill="1" applyBorder="1" applyAlignment="1">
      <alignment horizontal="right"/>
    </xf>
    <xf numFmtId="188" fontId="12" fillId="36" borderId="21" xfId="0" applyNumberFormat="1" applyFont="1" applyFill="1" applyBorder="1" applyAlignment="1">
      <alignment horizontal="right"/>
    </xf>
    <xf numFmtId="182" fontId="15" fillId="36" borderId="17" xfId="0" applyFont="1" applyFill="1" applyBorder="1" applyAlignment="1" applyProtection="1">
      <alignment/>
      <protection/>
    </xf>
    <xf numFmtId="182" fontId="15" fillId="36" borderId="21" xfId="0" applyFont="1" applyFill="1" applyBorder="1" applyAlignment="1" applyProtection="1">
      <alignment/>
      <protection/>
    </xf>
    <xf numFmtId="187" fontId="12" fillId="36" borderId="22" xfId="0" applyNumberFormat="1" applyFont="1" applyFill="1" applyBorder="1" applyAlignment="1" applyProtection="1">
      <alignment horizontal="right"/>
      <protection/>
    </xf>
    <xf numFmtId="187" fontId="12" fillId="36" borderId="23" xfId="0" applyNumberFormat="1" applyFont="1" applyFill="1" applyBorder="1" applyAlignment="1" applyProtection="1">
      <alignment horizontal="right"/>
      <protection/>
    </xf>
    <xf numFmtId="182" fontId="15" fillId="36" borderId="0" xfId="0" applyFont="1" applyFill="1" applyBorder="1" applyAlignment="1">
      <alignment/>
    </xf>
    <xf numFmtId="182" fontId="15" fillId="36" borderId="28" xfId="0" applyFont="1" applyFill="1" applyBorder="1" applyAlignment="1">
      <alignment/>
    </xf>
    <xf numFmtId="189" fontId="12" fillId="36" borderId="22" xfId="0" applyNumberFormat="1" applyFont="1" applyFill="1" applyBorder="1" applyAlignment="1" applyProtection="1">
      <alignment/>
      <protection/>
    </xf>
    <xf numFmtId="189" fontId="12" fillId="36" borderId="23" xfId="0" applyNumberFormat="1" applyFont="1" applyFill="1" applyBorder="1" applyAlignment="1" applyProtection="1">
      <alignment/>
      <protection/>
    </xf>
    <xf numFmtId="0" fontId="12" fillId="36" borderId="16" xfId="0" applyNumberFormat="1" applyFont="1" applyFill="1" applyBorder="1" applyAlignment="1" applyProtection="1">
      <alignment horizontal="left" vertical="center"/>
      <protection locked="0"/>
    </xf>
    <xf numFmtId="0" fontId="12" fillId="36" borderId="33" xfId="0" applyNumberFormat="1" applyFont="1" applyFill="1" applyBorder="1" applyAlignment="1" applyProtection="1">
      <alignment horizontal="left" vertical="center"/>
      <protection/>
    </xf>
    <xf numFmtId="0" fontId="12" fillId="36" borderId="11" xfId="0" applyNumberFormat="1" applyFont="1" applyFill="1" applyBorder="1" applyAlignment="1" applyProtection="1">
      <alignment horizontal="left" vertical="center"/>
      <protection/>
    </xf>
    <xf numFmtId="0" fontId="9" fillId="37" borderId="34" xfId="0" applyNumberFormat="1" applyFont="1" applyFill="1" applyBorder="1" applyAlignment="1">
      <alignment horizontal="left"/>
    </xf>
    <xf numFmtId="182" fontId="11" fillId="37" borderId="34" xfId="0" applyFont="1" applyFill="1" applyBorder="1" applyAlignment="1">
      <alignment vertical="center"/>
    </xf>
    <xf numFmtId="0" fontId="10" fillId="37" borderId="0" xfId="0" applyNumberFormat="1" applyFont="1" applyFill="1" applyBorder="1" applyAlignment="1">
      <alignment/>
    </xf>
    <xf numFmtId="0" fontId="10" fillId="37" borderId="12" xfId="0" applyNumberFormat="1" applyFont="1" applyFill="1" applyBorder="1" applyAlignment="1">
      <alignment/>
    </xf>
    <xf numFmtId="182" fontId="5" fillId="37" borderId="14" xfId="0" applyFont="1" applyFill="1" applyBorder="1" applyAlignment="1">
      <alignment vertical="center"/>
    </xf>
    <xf numFmtId="182" fontId="5" fillId="37" borderId="24" xfId="0" applyFont="1" applyFill="1" applyBorder="1" applyAlignment="1">
      <alignment vertical="center"/>
    </xf>
    <xf numFmtId="0" fontId="12" fillId="37" borderId="0" xfId="0" applyNumberFormat="1" applyFont="1" applyFill="1" applyBorder="1" applyAlignment="1">
      <alignment/>
    </xf>
    <xf numFmtId="182" fontId="13" fillId="33" borderId="35" xfId="0" applyFont="1" applyFill="1" applyBorder="1" applyAlignment="1">
      <alignment vertical="center"/>
    </xf>
    <xf numFmtId="182" fontId="12" fillId="36" borderId="18" xfId="0" applyFont="1" applyFill="1" applyBorder="1" applyAlignment="1">
      <alignment vertical="center"/>
    </xf>
    <xf numFmtId="182" fontId="12" fillId="36" borderId="36" xfId="0" applyFont="1" applyFill="1" applyBorder="1" applyAlignment="1">
      <alignment vertical="center"/>
    </xf>
    <xf numFmtId="182" fontId="12" fillId="36" borderId="37" xfId="0" applyFont="1" applyFill="1" applyBorder="1" applyAlignment="1">
      <alignment vertical="center"/>
    </xf>
    <xf numFmtId="182" fontId="14" fillId="36" borderId="38" xfId="0" applyFont="1" applyFill="1" applyBorder="1" applyAlignment="1">
      <alignment vertical="center"/>
    </xf>
    <xf numFmtId="9" fontId="12" fillId="36" borderId="37" xfId="0" applyNumberFormat="1" applyFont="1" applyFill="1" applyBorder="1" applyAlignment="1">
      <alignment horizontal="left" vertical="center"/>
    </xf>
    <xf numFmtId="182" fontId="14" fillId="36" borderId="38" xfId="0" applyFont="1" applyFill="1" applyBorder="1" applyAlignment="1">
      <alignment vertical="center" wrapText="1"/>
    </xf>
    <xf numFmtId="0" fontId="13" fillId="37" borderId="12" xfId="0" applyNumberFormat="1" applyFont="1" applyFill="1" applyBorder="1" applyAlignment="1">
      <alignment/>
    </xf>
    <xf numFmtId="182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Fill="1" applyBorder="1" applyAlignment="1" applyProtection="1">
      <alignment horizontal="left" vertical="center" wrapText="1"/>
      <protection locked="0"/>
    </xf>
    <xf numFmtId="182" fontId="16" fillId="0" borderId="0" xfId="0" applyFont="1" applyAlignment="1" applyProtection="1">
      <alignment vertical="center"/>
      <protection locked="0"/>
    </xf>
    <xf numFmtId="182" fontId="5" fillId="0" borderId="0" xfId="0" applyFont="1" applyFill="1" applyBorder="1" applyAlignment="1" applyProtection="1">
      <alignment/>
      <protection locked="0"/>
    </xf>
    <xf numFmtId="0" fontId="5" fillId="0" borderId="0" xfId="56" applyFont="1" applyFill="1" applyBorder="1" applyAlignment="1" applyProtection="1">
      <alignment vertical="center"/>
      <protection locked="0"/>
    </xf>
    <xf numFmtId="182" fontId="5" fillId="0" borderId="0" xfId="0" applyFont="1" applyFill="1" applyAlignment="1" applyProtection="1">
      <alignment horizontal="left" vertical="center" wrapText="1"/>
      <protection locked="0"/>
    </xf>
    <xf numFmtId="182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56" applyFont="1" applyFill="1" applyBorder="1" applyAlignment="1" applyProtection="1">
      <alignment horizontal="left" vertical="center" wrapText="1"/>
      <protection locked="0"/>
    </xf>
    <xf numFmtId="182" fontId="16" fillId="0" borderId="0" xfId="0" applyFont="1" applyAlignment="1" applyProtection="1">
      <alignment horizontal="left" vertical="center" wrapText="1"/>
      <protection locked="0"/>
    </xf>
    <xf numFmtId="9" fontId="12" fillId="36" borderId="37" xfId="55" applyFont="1" applyFill="1" applyBorder="1" applyAlignment="1">
      <alignment horizontal="left" vertical="center"/>
    </xf>
    <xf numFmtId="182" fontId="20" fillId="0" borderId="0" xfId="0" applyFont="1" applyAlignment="1">
      <alignment/>
    </xf>
    <xf numFmtId="0" fontId="5" fillId="36" borderId="0" xfId="0" applyNumberFormat="1" applyFont="1" applyFill="1" applyAlignment="1" applyProtection="1">
      <alignment horizontal="center"/>
      <protection locked="0"/>
    </xf>
    <xf numFmtId="183" fontId="5" fillId="36" borderId="17" xfId="0" applyNumberFormat="1" applyFont="1" applyFill="1" applyBorder="1" applyAlignment="1" applyProtection="1">
      <alignment horizontal="center"/>
      <protection locked="0"/>
    </xf>
    <xf numFmtId="183" fontId="5" fillId="36" borderId="30" xfId="0" applyNumberFormat="1" applyFont="1" applyFill="1" applyBorder="1" applyAlignment="1" applyProtection="1">
      <alignment horizontal="center"/>
      <protection locked="0"/>
    </xf>
    <xf numFmtId="187" fontId="12" fillId="34" borderId="17" xfId="0" applyNumberFormat="1" applyFont="1" applyFill="1" applyBorder="1" applyAlignment="1" applyProtection="1">
      <alignment horizontal="right"/>
      <protection locked="0"/>
    </xf>
    <xf numFmtId="187" fontId="12" fillId="34" borderId="21" xfId="0" applyNumberFormat="1" applyFont="1" applyFill="1" applyBorder="1" applyAlignment="1" applyProtection="1">
      <alignment horizontal="right"/>
      <protection locked="0"/>
    </xf>
    <xf numFmtId="187" fontId="12" fillId="34" borderId="22" xfId="0" applyNumberFormat="1" applyFont="1" applyFill="1" applyBorder="1" applyAlignment="1" applyProtection="1">
      <alignment horizontal="right"/>
      <protection locked="0"/>
    </xf>
    <xf numFmtId="187" fontId="12" fillId="34" borderId="23" xfId="0" applyNumberFormat="1" applyFont="1" applyFill="1" applyBorder="1" applyAlignment="1" applyProtection="1">
      <alignment horizontal="right"/>
      <protection locked="0"/>
    </xf>
    <xf numFmtId="182" fontId="22" fillId="0" borderId="0" xfId="0" applyFont="1" applyAlignment="1">
      <alignment horizontal="center"/>
    </xf>
    <xf numFmtId="182" fontId="16" fillId="0" borderId="0" xfId="0" applyFont="1" applyFill="1" applyAlignment="1" applyProtection="1">
      <alignment horizontal="left" vertical="center" wrapText="1"/>
      <protection locked="0"/>
    </xf>
    <xf numFmtId="9" fontId="5" fillId="36" borderId="30" xfId="55" applyFont="1" applyFill="1" applyBorder="1" applyAlignment="1" applyProtection="1">
      <alignment horizontal="center"/>
      <protection locked="0"/>
    </xf>
    <xf numFmtId="9" fontId="5" fillId="36" borderId="0" xfId="55" applyFont="1" applyFill="1" applyBorder="1" applyAlignment="1" applyProtection="1">
      <alignment horizontal="center"/>
      <protection locked="0"/>
    </xf>
    <xf numFmtId="9" fontId="5" fillId="36" borderId="12" xfId="55" applyFont="1" applyFill="1" applyBorder="1" applyAlignment="1" applyProtection="1">
      <alignment horizontal="center"/>
      <protection locked="0"/>
    </xf>
    <xf numFmtId="9" fontId="5" fillId="36" borderId="15" xfId="55" applyFont="1" applyFill="1" applyBorder="1" applyAlignment="1" applyProtection="1">
      <alignment horizontal="center"/>
      <protection locked="0"/>
    </xf>
    <xf numFmtId="2" fontId="12" fillId="36" borderId="17" xfId="0" applyNumberFormat="1" applyFont="1" applyFill="1" applyBorder="1" applyAlignment="1">
      <alignment vertical="center"/>
    </xf>
    <xf numFmtId="1" fontId="12" fillId="34" borderId="17" xfId="0" applyNumberFormat="1" applyFont="1" applyFill="1" applyBorder="1" applyAlignment="1" applyProtection="1">
      <alignment/>
      <protection locked="0"/>
    </xf>
    <xf numFmtId="1" fontId="12" fillId="34" borderId="21" xfId="0" applyNumberFormat="1" applyFont="1" applyFill="1" applyBorder="1" applyAlignment="1" applyProtection="1">
      <alignment/>
      <protection locked="0"/>
    </xf>
    <xf numFmtId="1" fontId="12" fillId="34" borderId="17" xfId="0" applyNumberFormat="1" applyFont="1" applyFill="1" applyBorder="1" applyAlignment="1" applyProtection="1">
      <alignment horizontal="right"/>
      <protection locked="0"/>
    </xf>
    <xf numFmtId="1" fontId="12" fillId="34" borderId="21" xfId="0" applyNumberFormat="1" applyFont="1" applyFill="1" applyBorder="1" applyAlignment="1" applyProtection="1">
      <alignment horizontal="right"/>
      <protection locked="0"/>
    </xf>
    <xf numFmtId="2" fontId="12" fillId="36" borderId="20" xfId="0" applyNumberFormat="1" applyFont="1" applyFill="1" applyBorder="1" applyAlignment="1">
      <alignment horizontal="right"/>
    </xf>
    <xf numFmtId="0" fontId="12" fillId="36" borderId="0" xfId="0" applyNumberFormat="1" applyFont="1" applyFill="1" applyBorder="1" applyAlignment="1" applyProtection="1">
      <alignment horizontal="left" vertical="center"/>
      <protection/>
    </xf>
    <xf numFmtId="183" fontId="12" fillId="36" borderId="0" xfId="0" applyNumberFormat="1" applyFont="1" applyFill="1" applyBorder="1" applyAlignment="1">
      <alignment vertical="center"/>
    </xf>
    <xf numFmtId="183" fontId="12" fillId="34" borderId="13" xfId="0" applyNumberFormat="1" applyFont="1" applyFill="1" applyBorder="1" applyAlignment="1" applyProtection="1">
      <alignment vertical="center"/>
      <protection locked="0"/>
    </xf>
    <xf numFmtId="182" fontId="12" fillId="36" borderId="17" xfId="0" applyFont="1" applyFill="1" applyBorder="1" applyAlignment="1" applyProtection="1">
      <alignment horizontal="center"/>
      <protection locked="0"/>
    </xf>
    <xf numFmtId="0" fontId="12" fillId="34" borderId="13" xfId="0" applyNumberFormat="1" applyFont="1" applyFill="1" applyBorder="1" applyAlignment="1" applyProtection="1">
      <alignment vertical="center"/>
      <protection locked="0"/>
    </xf>
    <xf numFmtId="0" fontId="12" fillId="37" borderId="0" xfId="0" applyNumberFormat="1" applyFont="1" applyFill="1" applyBorder="1" applyAlignment="1">
      <alignment horizontal="right" vertical="center"/>
    </xf>
    <xf numFmtId="182" fontId="12" fillId="36" borderId="39" xfId="0" applyFont="1" applyFill="1" applyBorder="1" applyAlignment="1">
      <alignment vertical="center"/>
    </xf>
    <xf numFmtId="11" fontId="12" fillId="36" borderId="19" xfId="0" applyNumberFormat="1" applyFont="1" applyFill="1" applyBorder="1" applyAlignment="1">
      <alignment vertical="center"/>
    </xf>
    <xf numFmtId="182" fontId="12" fillId="36" borderId="32" xfId="0" applyFont="1" applyFill="1" applyBorder="1" applyAlignment="1">
      <alignment vertical="center"/>
    </xf>
    <xf numFmtId="188" fontId="12" fillId="36" borderId="19" xfId="0" applyNumberFormat="1" applyFont="1" applyFill="1" applyBorder="1" applyAlignment="1">
      <alignment vertical="center"/>
    </xf>
    <xf numFmtId="182" fontId="12" fillId="36" borderId="40" xfId="0" applyFont="1" applyFill="1" applyBorder="1" applyAlignment="1">
      <alignment vertical="center"/>
    </xf>
    <xf numFmtId="182" fontId="5" fillId="37" borderId="0" xfId="0" applyFont="1" applyFill="1" applyBorder="1" applyAlignment="1">
      <alignment vertical="center"/>
    </xf>
    <xf numFmtId="182" fontId="12" fillId="37" borderId="0" xfId="0" applyFont="1" applyFill="1" applyBorder="1" applyAlignment="1">
      <alignment vertical="center"/>
    </xf>
    <xf numFmtId="2" fontId="12" fillId="36" borderId="20" xfId="0" applyNumberFormat="1" applyFont="1" applyFill="1" applyBorder="1" applyAlignment="1" applyProtection="1">
      <alignment horizontal="right"/>
      <protection/>
    </xf>
    <xf numFmtId="182" fontId="12" fillId="34" borderId="41" xfId="0" applyFont="1" applyFill="1" applyBorder="1" applyAlignment="1" applyProtection="1">
      <alignment/>
      <protection locked="0"/>
    </xf>
    <xf numFmtId="182" fontId="12" fillId="34" borderId="42" xfId="0" applyFont="1" applyFill="1" applyBorder="1" applyAlignment="1" applyProtection="1">
      <alignment/>
      <protection locked="0"/>
    </xf>
    <xf numFmtId="182" fontId="12" fillId="36" borderId="41" xfId="0" applyFont="1" applyFill="1" applyBorder="1" applyAlignment="1">
      <alignment/>
    </xf>
    <xf numFmtId="182" fontId="12" fillId="36" borderId="37" xfId="0" applyFont="1" applyFill="1" applyBorder="1" applyAlignment="1">
      <alignment horizontal="right"/>
    </xf>
    <xf numFmtId="182" fontId="12" fillId="36" borderId="43" xfId="0" applyFont="1" applyFill="1" applyBorder="1" applyAlignment="1">
      <alignment/>
    </xf>
    <xf numFmtId="182" fontId="12" fillId="36" borderId="44" xfId="0" applyFont="1" applyFill="1" applyBorder="1" applyAlignment="1">
      <alignment horizontal="right"/>
    </xf>
    <xf numFmtId="182" fontId="12" fillId="34" borderId="43" xfId="0" applyFont="1" applyFill="1" applyBorder="1" applyAlignment="1" applyProtection="1">
      <alignment/>
      <protection locked="0"/>
    </xf>
    <xf numFmtId="182" fontId="12" fillId="34" borderId="45" xfId="0" applyFont="1" applyFill="1" applyBorder="1" applyAlignment="1" applyProtection="1">
      <alignment/>
      <protection locked="0"/>
    </xf>
    <xf numFmtId="184" fontId="12" fillId="34" borderId="43" xfId="0" applyNumberFormat="1" applyFont="1" applyFill="1" applyBorder="1" applyAlignment="1" applyProtection="1">
      <alignment/>
      <protection locked="0"/>
    </xf>
    <xf numFmtId="184" fontId="12" fillId="34" borderId="41" xfId="0" applyNumberFormat="1" applyFont="1" applyFill="1" applyBorder="1" applyAlignment="1" applyProtection="1">
      <alignment/>
      <protection locked="0"/>
    </xf>
    <xf numFmtId="182" fontId="12" fillId="36" borderId="46" xfId="0" applyFont="1" applyFill="1" applyBorder="1" applyAlignment="1">
      <alignment/>
    </xf>
    <xf numFmtId="182" fontId="12" fillId="36" borderId="47" xfId="0" applyFont="1" applyFill="1" applyBorder="1" applyAlignment="1">
      <alignment horizontal="right"/>
    </xf>
    <xf numFmtId="182" fontId="12" fillId="34" borderId="46" xfId="0" applyFont="1" applyFill="1" applyBorder="1" applyAlignment="1" applyProtection="1">
      <alignment/>
      <protection locked="0"/>
    </xf>
    <xf numFmtId="184" fontId="12" fillId="34" borderId="46" xfId="0" applyNumberFormat="1" applyFont="1" applyFill="1" applyBorder="1" applyAlignment="1" applyProtection="1">
      <alignment/>
      <protection locked="0"/>
    </xf>
    <xf numFmtId="182" fontId="12" fillId="34" borderId="48" xfId="0" applyFont="1" applyFill="1" applyBorder="1" applyAlignment="1" applyProtection="1">
      <alignment/>
      <protection locked="0"/>
    </xf>
    <xf numFmtId="182" fontId="12" fillId="36" borderId="49" xfId="0" applyFont="1" applyFill="1" applyBorder="1" applyAlignment="1">
      <alignment/>
    </xf>
    <xf numFmtId="182" fontId="12" fillId="36" borderId="50" xfId="0" applyFont="1" applyFill="1" applyBorder="1" applyAlignment="1">
      <alignment horizontal="right"/>
    </xf>
    <xf numFmtId="182" fontId="12" fillId="34" borderId="49" xfId="0" applyFont="1" applyFill="1" applyBorder="1" applyAlignment="1" applyProtection="1">
      <alignment/>
      <protection locked="0"/>
    </xf>
    <xf numFmtId="184" fontId="12" fillId="34" borderId="49" xfId="0" applyNumberFormat="1" applyFont="1" applyFill="1" applyBorder="1" applyAlignment="1" applyProtection="1">
      <alignment/>
      <protection locked="0"/>
    </xf>
    <xf numFmtId="182" fontId="12" fillId="34" borderId="51" xfId="0" applyFont="1" applyFill="1" applyBorder="1" applyAlignment="1" applyProtection="1">
      <alignment/>
      <protection locked="0"/>
    </xf>
    <xf numFmtId="182" fontId="12" fillId="36" borderId="52" xfId="0" applyFont="1" applyFill="1" applyBorder="1" applyAlignment="1">
      <alignment/>
    </xf>
    <xf numFmtId="182" fontId="12" fillId="36" borderId="53" xfId="0" applyFont="1" applyFill="1" applyBorder="1" applyAlignment="1">
      <alignment horizontal="right"/>
    </xf>
    <xf numFmtId="182" fontId="12" fillId="36" borderId="54" xfId="0" applyFont="1" applyFill="1" applyBorder="1" applyAlignment="1">
      <alignment horizontal="right"/>
    </xf>
    <xf numFmtId="182" fontId="14" fillId="36" borderId="38" xfId="0" applyFont="1" applyFill="1" applyBorder="1" applyAlignment="1">
      <alignment horizontal="left" vertical="center" wrapText="1"/>
    </xf>
    <xf numFmtId="182" fontId="13" fillId="33" borderId="55" xfId="0" applyFont="1" applyFill="1" applyBorder="1" applyAlignment="1">
      <alignment vertical="center"/>
    </xf>
    <xf numFmtId="182" fontId="12" fillId="36" borderId="33" xfId="0" applyFont="1" applyFill="1" applyBorder="1" applyAlignment="1">
      <alignment vertical="center"/>
    </xf>
    <xf numFmtId="182" fontId="13" fillId="33" borderId="34" xfId="0" applyFont="1" applyFill="1" applyBorder="1" applyAlignment="1">
      <alignment vertical="center"/>
    </xf>
    <xf numFmtId="11" fontId="12" fillId="36" borderId="17" xfId="0" applyNumberFormat="1" applyFont="1" applyFill="1" applyBorder="1" applyAlignment="1">
      <alignment horizontal="center" vertical="center"/>
    </xf>
    <xf numFmtId="185" fontId="12" fillId="36" borderId="0" xfId="0" applyNumberFormat="1" applyFont="1" applyFill="1" applyBorder="1" applyAlignment="1">
      <alignment horizontal="center" vertical="center"/>
    </xf>
    <xf numFmtId="11" fontId="12" fillId="36" borderId="0" xfId="0" applyNumberFormat="1" applyFont="1" applyFill="1" applyBorder="1" applyAlignment="1">
      <alignment horizontal="center" vertical="center"/>
    </xf>
    <xf numFmtId="11" fontId="12" fillId="36" borderId="22" xfId="0" applyNumberFormat="1" applyFont="1" applyFill="1" applyBorder="1" applyAlignment="1">
      <alignment horizontal="center" vertical="center"/>
    </xf>
    <xf numFmtId="11" fontId="12" fillId="36" borderId="28" xfId="0" applyNumberFormat="1" applyFont="1" applyFill="1" applyBorder="1" applyAlignment="1">
      <alignment horizontal="center" vertical="center"/>
    </xf>
    <xf numFmtId="185" fontId="12" fillId="36" borderId="27" xfId="0" applyNumberFormat="1" applyFont="1" applyFill="1" applyBorder="1" applyAlignment="1">
      <alignment horizontal="center" vertical="center"/>
    </xf>
    <xf numFmtId="1" fontId="12" fillId="34" borderId="24" xfId="0" applyNumberFormat="1" applyFont="1" applyFill="1" applyBorder="1" applyAlignment="1" applyProtection="1">
      <alignment vertical="center"/>
      <protection locked="0"/>
    </xf>
    <xf numFmtId="182" fontId="12" fillId="36" borderId="19" xfId="0" applyFont="1" applyFill="1" applyBorder="1" applyAlignment="1">
      <alignment horizontal="center" vertical="center"/>
    </xf>
    <xf numFmtId="182" fontId="12" fillId="36" borderId="32" xfId="0" applyFont="1" applyFill="1" applyBorder="1" applyAlignment="1">
      <alignment horizontal="center" vertical="center"/>
    </xf>
    <xf numFmtId="182" fontId="12" fillId="36" borderId="56" xfId="0" applyFont="1" applyFill="1" applyBorder="1" applyAlignment="1">
      <alignment horizontal="center" vertical="center"/>
    </xf>
    <xf numFmtId="2" fontId="12" fillId="36" borderId="30" xfId="0" applyNumberFormat="1" applyFont="1" applyFill="1" applyBorder="1" applyAlignment="1">
      <alignment vertical="center"/>
    </xf>
    <xf numFmtId="1" fontId="5" fillId="36" borderId="12" xfId="55" applyNumberFormat="1" applyFont="1" applyFill="1" applyBorder="1" applyAlignment="1" applyProtection="1">
      <alignment horizontal="center"/>
      <protection locked="0"/>
    </xf>
    <xf numFmtId="1" fontId="5" fillId="36" borderId="0" xfId="55" applyNumberFormat="1" applyFont="1" applyFill="1" applyBorder="1" applyAlignment="1" applyProtection="1">
      <alignment horizontal="center"/>
      <protection locked="0"/>
    </xf>
    <xf numFmtId="182" fontId="12" fillId="36" borderId="57" xfId="0" applyFont="1" applyFill="1" applyBorder="1" applyAlignment="1">
      <alignment vertical="center"/>
    </xf>
    <xf numFmtId="182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4" fontId="5" fillId="38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left" vertical="center"/>
    </xf>
    <xf numFmtId="182" fontId="12" fillId="34" borderId="26" xfId="0" applyFont="1" applyFill="1" applyBorder="1" applyAlignment="1" applyProtection="1">
      <alignment vertical="center"/>
      <protection locked="0"/>
    </xf>
    <xf numFmtId="188" fontId="12" fillId="34" borderId="28" xfId="0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Alignment="1">
      <alignment horizontal="center"/>
    </xf>
    <xf numFmtId="182" fontId="12" fillId="36" borderId="30" xfId="0" applyFont="1" applyFill="1" applyBorder="1" applyAlignment="1">
      <alignment vertical="center" wrapText="1"/>
    </xf>
    <xf numFmtId="182" fontId="12" fillId="36" borderId="24" xfId="0" applyFont="1" applyFill="1" applyBorder="1" applyAlignment="1">
      <alignment vertical="center" wrapText="1"/>
    </xf>
    <xf numFmtId="182" fontId="12" fillId="36" borderId="31" xfId="0" applyFont="1" applyFill="1" applyBorder="1" applyAlignment="1">
      <alignment vertical="center" wrapText="1"/>
    </xf>
    <xf numFmtId="185" fontId="12" fillId="36" borderId="22" xfId="0" applyNumberFormat="1" applyFont="1" applyFill="1" applyBorder="1" applyAlignment="1">
      <alignment vertical="center"/>
    </xf>
    <xf numFmtId="2" fontId="12" fillId="36" borderId="0" xfId="0" applyNumberFormat="1" applyFont="1" applyFill="1" applyBorder="1" applyAlignment="1">
      <alignment horizontal="left" vertical="center"/>
    </xf>
    <xf numFmtId="182" fontId="12" fillId="36" borderId="25" xfId="0" applyFont="1" applyFill="1" applyBorder="1" applyAlignment="1">
      <alignment vertical="center" wrapText="1"/>
    </xf>
    <xf numFmtId="183" fontId="12" fillId="36" borderId="0" xfId="0" applyNumberFormat="1" applyFont="1" applyFill="1" applyBorder="1" applyAlignment="1">
      <alignment horizontal="center" vertical="center"/>
    </xf>
    <xf numFmtId="182" fontId="13" fillId="33" borderId="26" xfId="0" applyFont="1" applyFill="1" applyBorder="1" applyAlignment="1">
      <alignment vertical="center"/>
    </xf>
    <xf numFmtId="182" fontId="13" fillId="33" borderId="28" xfId="0" applyFont="1" applyFill="1" applyBorder="1" applyAlignment="1">
      <alignment vertical="center"/>
    </xf>
    <xf numFmtId="182" fontId="12" fillId="33" borderId="22" xfId="0" applyFont="1" applyFill="1" applyBorder="1" applyAlignment="1">
      <alignment horizontal="center" vertical="center"/>
    </xf>
    <xf numFmtId="182" fontId="12" fillId="33" borderId="27" xfId="0" applyFont="1" applyFill="1" applyBorder="1" applyAlignment="1">
      <alignment horizontal="center" vertical="center"/>
    </xf>
    <xf numFmtId="182" fontId="12" fillId="33" borderId="28" xfId="0" applyFont="1" applyFill="1" applyBorder="1" applyAlignment="1">
      <alignment horizontal="center" vertical="center"/>
    </xf>
    <xf numFmtId="182" fontId="13" fillId="33" borderId="10" xfId="0" applyFont="1" applyFill="1" applyBorder="1" applyAlignment="1">
      <alignment vertical="center"/>
    </xf>
    <xf numFmtId="182" fontId="13" fillId="33" borderId="33" xfId="0" applyFont="1" applyFill="1" applyBorder="1" applyAlignment="1">
      <alignment vertical="center"/>
    </xf>
    <xf numFmtId="185" fontId="12" fillId="36" borderId="17" xfId="0" applyNumberFormat="1" applyFont="1" applyFill="1" applyBorder="1" applyAlignment="1">
      <alignment horizontal="right" vertical="center"/>
    </xf>
    <xf numFmtId="11" fontId="12" fillId="34" borderId="25" xfId="0" applyNumberFormat="1" applyFont="1" applyFill="1" applyBorder="1" applyAlignment="1" applyProtection="1">
      <alignment vertical="center"/>
      <protection locked="0"/>
    </xf>
    <xf numFmtId="185" fontId="12" fillId="36" borderId="19" xfId="0" applyNumberFormat="1" applyFont="1" applyFill="1" applyBorder="1" applyAlignment="1">
      <alignment vertical="center"/>
    </xf>
    <xf numFmtId="183" fontId="12" fillId="36" borderId="30" xfId="0" applyNumberFormat="1" applyFont="1" applyFill="1" applyBorder="1" applyAlignment="1">
      <alignment vertical="center"/>
    </xf>
    <xf numFmtId="9" fontId="12" fillId="36" borderId="44" xfId="55" applyFont="1" applyFill="1" applyBorder="1" applyAlignment="1">
      <alignment horizontal="left" vertical="center"/>
    </xf>
    <xf numFmtId="182" fontId="12" fillId="36" borderId="44" xfId="0" applyFont="1" applyFill="1" applyBorder="1" applyAlignment="1">
      <alignment vertical="center"/>
    </xf>
    <xf numFmtId="182" fontId="14" fillId="36" borderId="58" xfId="0" applyFont="1" applyFill="1" applyBorder="1" applyAlignment="1">
      <alignment vertical="center"/>
    </xf>
    <xf numFmtId="0" fontId="12" fillId="36" borderId="25" xfId="0" applyNumberFormat="1" applyFont="1" applyFill="1" applyBorder="1" applyAlignment="1" applyProtection="1">
      <alignment vertical="center"/>
      <protection locked="0"/>
    </xf>
    <xf numFmtId="0" fontId="12" fillId="36" borderId="27" xfId="0" applyNumberFormat="1" applyFont="1" applyFill="1" applyBorder="1" applyAlignment="1" applyProtection="1">
      <alignment vertical="center"/>
      <protection locked="0"/>
    </xf>
    <xf numFmtId="0" fontId="12" fillId="36" borderId="31" xfId="0" applyNumberFormat="1" applyFont="1" applyFill="1" applyBorder="1" applyAlignment="1" applyProtection="1">
      <alignment vertical="center"/>
      <protection locked="0"/>
    </xf>
    <xf numFmtId="182" fontId="12" fillId="36" borderId="19" xfId="0" applyFont="1" applyFill="1" applyBorder="1" applyAlignment="1">
      <alignment horizontal="center" vertical="center"/>
    </xf>
    <xf numFmtId="182" fontId="12" fillId="36" borderId="40" xfId="0" applyFont="1" applyFill="1" applyBorder="1" applyAlignment="1">
      <alignment horizontal="center" vertical="center"/>
    </xf>
    <xf numFmtId="182" fontId="12" fillId="33" borderId="16" xfId="0" applyFont="1" applyFill="1" applyBorder="1" applyAlignment="1">
      <alignment horizontal="center" vertical="center"/>
    </xf>
    <xf numFmtId="182" fontId="12" fillId="33" borderId="11" xfId="0" applyFont="1" applyFill="1" applyBorder="1" applyAlignment="1">
      <alignment horizontal="center" vertical="center"/>
    </xf>
    <xf numFmtId="182" fontId="12" fillId="36" borderId="17" xfId="0" applyFont="1" applyFill="1" applyBorder="1" applyAlignment="1">
      <alignment horizontal="center" vertical="center"/>
    </xf>
    <xf numFmtId="182" fontId="12" fillId="36" borderId="25" xfId="0" applyFont="1" applyFill="1" applyBorder="1" applyAlignment="1">
      <alignment horizontal="center" vertical="center"/>
    </xf>
    <xf numFmtId="182" fontId="12" fillId="36" borderId="13" xfId="0" applyFont="1" applyFill="1" applyBorder="1" applyAlignment="1">
      <alignment horizontal="center" vertical="center"/>
    </xf>
    <xf numFmtId="182" fontId="12" fillId="36" borderId="0" xfId="0" applyFont="1" applyFill="1" applyBorder="1" applyAlignment="1">
      <alignment horizontal="center" vertical="center"/>
    </xf>
    <xf numFmtId="182" fontId="12" fillId="33" borderId="33" xfId="0" applyFont="1" applyFill="1" applyBorder="1" applyAlignment="1">
      <alignment horizontal="center" vertical="center"/>
    </xf>
    <xf numFmtId="182" fontId="12" fillId="33" borderId="59" xfId="0" applyFont="1" applyFill="1" applyBorder="1" applyAlignment="1">
      <alignment horizontal="center" vertical="center"/>
    </xf>
    <xf numFmtId="182" fontId="12" fillId="33" borderId="22" xfId="0" applyFont="1" applyFill="1" applyBorder="1" applyAlignment="1">
      <alignment horizontal="center" vertical="center"/>
    </xf>
    <xf numFmtId="182" fontId="12" fillId="33" borderId="29" xfId="0" applyFont="1" applyFill="1" applyBorder="1" applyAlignment="1">
      <alignment horizontal="center" vertical="center"/>
    </xf>
    <xf numFmtId="182" fontId="12" fillId="33" borderId="28" xfId="0" applyFont="1" applyFill="1" applyBorder="1" applyAlignment="1">
      <alignment horizontal="center" vertical="center"/>
    </xf>
    <xf numFmtId="182" fontId="12" fillId="33" borderId="27" xfId="0" applyFont="1" applyFill="1" applyBorder="1" applyAlignment="1">
      <alignment horizontal="center" vertical="center"/>
    </xf>
    <xf numFmtId="183" fontId="12" fillId="33" borderId="60" xfId="0" applyNumberFormat="1" applyFont="1" applyFill="1" applyBorder="1" applyAlignment="1">
      <alignment horizontal="center" vertical="center"/>
    </xf>
    <xf numFmtId="183" fontId="12" fillId="33" borderId="61" xfId="0" applyNumberFormat="1" applyFont="1" applyFill="1" applyBorder="1" applyAlignment="1">
      <alignment horizontal="center" vertical="center"/>
    </xf>
    <xf numFmtId="182" fontId="19" fillId="37" borderId="35" xfId="0" applyFont="1" applyFill="1" applyBorder="1" applyAlignment="1">
      <alignment horizontal="center" vertical="center"/>
    </xf>
    <xf numFmtId="182" fontId="19" fillId="37" borderId="55" xfId="0" applyFont="1" applyFill="1" applyBorder="1" applyAlignment="1">
      <alignment horizontal="center" vertical="center"/>
    </xf>
    <xf numFmtId="182" fontId="19" fillId="37" borderId="62" xfId="0" applyFont="1" applyFill="1" applyBorder="1" applyAlignment="1">
      <alignment horizontal="center" vertical="center"/>
    </xf>
    <xf numFmtId="183" fontId="12" fillId="33" borderId="63" xfId="0" applyNumberFormat="1" applyFont="1" applyFill="1" applyBorder="1" applyAlignment="1">
      <alignment horizontal="center" vertical="center"/>
    </xf>
    <xf numFmtId="183" fontId="12" fillId="33" borderId="34" xfId="0" applyNumberFormat="1" applyFont="1" applyFill="1" applyBorder="1" applyAlignment="1">
      <alignment horizontal="center" vertical="center"/>
    </xf>
    <xf numFmtId="182" fontId="13" fillId="37" borderId="18" xfId="0" applyFont="1" applyFill="1" applyBorder="1" applyAlignment="1">
      <alignment horizontal="left" vertical="center"/>
    </xf>
    <xf numFmtId="182" fontId="13" fillId="37" borderId="34" xfId="0" applyFont="1" applyFill="1" applyBorder="1" applyAlignment="1">
      <alignment horizontal="left" vertical="center"/>
    </xf>
    <xf numFmtId="182" fontId="12" fillId="37" borderId="16" xfId="0" applyFont="1" applyFill="1" applyBorder="1" applyAlignment="1">
      <alignment horizontal="left" vertical="center" wrapText="1"/>
    </xf>
    <xf numFmtId="182" fontId="12" fillId="37" borderId="11" xfId="0" applyFont="1" applyFill="1" applyBorder="1" applyAlignment="1">
      <alignment horizontal="left" vertical="center" wrapText="1"/>
    </xf>
    <xf numFmtId="182" fontId="12" fillId="37" borderId="17" xfId="0" applyFont="1" applyFill="1" applyBorder="1" applyAlignment="1">
      <alignment horizontal="left" vertical="center" wrapText="1"/>
    </xf>
    <xf numFmtId="182" fontId="12" fillId="37" borderId="13" xfId="0" applyFont="1" applyFill="1" applyBorder="1" applyAlignment="1">
      <alignment horizontal="left" vertical="center" wrapText="1"/>
    </xf>
    <xf numFmtId="182" fontId="12" fillId="37" borderId="30" xfId="0" applyFont="1" applyFill="1" applyBorder="1" applyAlignment="1">
      <alignment horizontal="left" vertical="center" wrapText="1"/>
    </xf>
    <xf numFmtId="182" fontId="12" fillId="37" borderId="15" xfId="0" applyFont="1" applyFill="1" applyBorder="1" applyAlignment="1">
      <alignment horizontal="left" vertical="center" wrapText="1"/>
    </xf>
    <xf numFmtId="0" fontId="12" fillId="34" borderId="64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62" xfId="0" applyNumberFormat="1" applyFont="1" applyFill="1" applyBorder="1" applyAlignment="1" applyProtection="1">
      <alignment horizontal="left" vertical="center" wrapText="1"/>
      <protection locked="0"/>
    </xf>
    <xf numFmtId="182" fontId="13" fillId="36" borderId="34" xfId="0" applyFont="1" applyFill="1" applyBorder="1" applyAlignment="1">
      <alignment horizontal="left" vertical="center" wrapText="1"/>
    </xf>
    <xf numFmtId="182" fontId="13" fillId="36" borderId="6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Taal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8</xdr:col>
      <xdr:colOff>295275</xdr:colOff>
      <xdr:row>85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81675" cy="553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J252"/>
  <sheetViews>
    <sheetView zoomScalePageLayoutView="0" workbookViewId="0" topLeftCell="A31">
      <selection activeCell="F102" sqref="F102"/>
    </sheetView>
  </sheetViews>
  <sheetFormatPr defaultColWidth="9.00390625" defaultRowHeight="12.75"/>
  <cols>
    <col min="1" max="1" width="31.75390625" style="54" customWidth="1"/>
    <col min="2" max="10" width="25.625" style="54" customWidth="1"/>
    <col min="11" max="16384" width="9.00390625" style="54" customWidth="1"/>
  </cols>
  <sheetData>
    <row r="1" spans="1:10" ht="11.25">
      <c r="A1" s="57" t="s">
        <v>196</v>
      </c>
      <c r="B1" s="57" t="str">
        <f>A11</f>
        <v>ENGELS</v>
      </c>
      <c r="C1" s="57" t="str">
        <f>A12</f>
        <v>NEDERLANDS</v>
      </c>
      <c r="D1" s="55" t="str">
        <f>A13</f>
        <v>POOLS</v>
      </c>
      <c r="E1" s="55" t="str">
        <f>IF(A14="","--",A14)</f>
        <v>TSJECHISCH</v>
      </c>
      <c r="F1" s="55" t="str">
        <f>IF(A15="","--",A15)</f>
        <v>BULGAARS</v>
      </c>
      <c r="G1" s="55" t="str">
        <f>IF(A16="","--",A16)</f>
        <v>KROATISCH</v>
      </c>
      <c r="H1" s="55" t="str">
        <f>IF(A17="","--",A17)</f>
        <v>DUITS</v>
      </c>
      <c r="I1" s="55" t="str">
        <f>IF(A18="","--",A18)</f>
        <v>FRANS</v>
      </c>
      <c r="J1" s="55" t="str">
        <f>IF(A19="","--",A19)</f>
        <v>--</v>
      </c>
    </row>
    <row r="2" spans="1:10" ht="22.5">
      <c r="A2" s="58" t="str">
        <f>IF(INDEX(B2:J2,Data!$K$4)="","",INDEX(B2:J2,Data!$K$4))</f>
        <v>Validatietest voor emissies naar lucht</v>
      </c>
      <c r="B2" s="56" t="s">
        <v>150</v>
      </c>
      <c r="C2" s="56" t="s">
        <v>1010</v>
      </c>
      <c r="D2" s="170" t="s">
        <v>361</v>
      </c>
      <c r="E2" s="171" t="s">
        <v>610</v>
      </c>
      <c r="F2" s="56" t="s">
        <v>838</v>
      </c>
      <c r="G2" s="56" t="s">
        <v>847</v>
      </c>
      <c r="H2" s="56"/>
      <c r="I2" s="56"/>
      <c r="J2" s="56"/>
    </row>
    <row r="3" spans="1:10" ht="45">
      <c r="A3" s="59" t="str">
        <f>IF(INDEX(B3:J3,Data!$K$4)="","",INDEX(B3:J3,Data!$K$4))</f>
        <v>Ondanks de zorgvuldigheid waarmee dit werkblad is opgesteld, zijn fouten niet uit te sluiten.</v>
      </c>
      <c r="B3" s="56" t="s">
        <v>1015</v>
      </c>
      <c r="C3" s="56" t="s">
        <v>1016</v>
      </c>
      <c r="D3" s="170" t="s">
        <v>1017</v>
      </c>
      <c r="E3" s="171" t="s">
        <v>1018</v>
      </c>
      <c r="F3" s="56" t="s">
        <v>1019</v>
      </c>
      <c r="G3" s="56" t="s">
        <v>1020</v>
      </c>
      <c r="H3" s="56"/>
      <c r="I3" s="56"/>
      <c r="J3" s="56"/>
    </row>
    <row r="4" spans="1:10" ht="12">
      <c r="A4" s="59" t="str">
        <f>IF(INDEX(B4:J4,Data!$K$4)="","",INDEX(B4:J4,Data!$K$4))</f>
        <v>Versie</v>
      </c>
      <c r="B4" s="56" t="s">
        <v>1021</v>
      </c>
      <c r="C4" s="56" t="s">
        <v>1026</v>
      </c>
      <c r="D4" s="170" t="s">
        <v>1022</v>
      </c>
      <c r="E4" s="171" t="s">
        <v>1023</v>
      </c>
      <c r="F4" s="56" t="s">
        <v>1024</v>
      </c>
      <c r="G4" s="56" t="s">
        <v>1025</v>
      </c>
      <c r="H4" s="56"/>
      <c r="I4" s="56"/>
      <c r="J4" s="56"/>
    </row>
    <row r="5" spans="1:10" ht="12">
      <c r="A5" s="59" t="str">
        <f>IF(INDEX(B5:J5,Data!$K$4)="","",INDEX(B5:J5,Data!$K$4))</f>
        <v>Deze versie is te gebruiken tot </v>
      </c>
      <c r="B5" s="56" t="s">
        <v>1012</v>
      </c>
      <c r="C5" s="56" t="s">
        <v>1011</v>
      </c>
      <c r="D5" s="170"/>
      <c r="E5" s="171"/>
      <c r="F5" s="56"/>
      <c r="G5" s="56"/>
      <c r="H5" s="56"/>
      <c r="I5" s="56"/>
      <c r="J5" s="56"/>
    </row>
    <row r="6" spans="1:10" ht="24">
      <c r="A6" s="59" t="str">
        <f>IF(INDEX(B6:J6,Data!$K$4)="","",INDEX(B6:J6,Data!$K$4))</f>
        <v>Deze versie is verlopen; download een nieuwe versie van www.InfoMil.nl</v>
      </c>
      <c r="B6" s="56" t="s">
        <v>1014</v>
      </c>
      <c r="C6" s="56" t="s">
        <v>1013</v>
      </c>
      <c r="D6" s="170"/>
      <c r="E6" s="171"/>
      <c r="F6" s="56"/>
      <c r="G6" s="56"/>
      <c r="H6" s="56"/>
      <c r="I6" s="56"/>
      <c r="J6" s="56"/>
    </row>
    <row r="7" spans="1:10" ht="12">
      <c r="A7" s="59" t="str">
        <f>IF(INDEX(B7:J7,Data!$K$4)="","",INDEX(B7:J7,Data!$K$4))</f>
        <v>Afwijkend van verwachtingswaarde</v>
      </c>
      <c r="B7" s="56" t="s">
        <v>831</v>
      </c>
      <c r="C7" s="56" t="s">
        <v>832</v>
      </c>
      <c r="D7" s="180" t="s">
        <v>842</v>
      </c>
      <c r="E7" s="171" t="s">
        <v>841</v>
      </c>
      <c r="F7" s="56" t="s">
        <v>837</v>
      </c>
      <c r="G7" s="56" t="s">
        <v>848</v>
      </c>
      <c r="H7" s="56"/>
      <c r="I7" s="56"/>
      <c r="J7" s="56"/>
    </row>
    <row r="8" spans="1:10" ht="12">
      <c r="A8" s="59" t="str">
        <f>IF(INDEX(B8:J8,Data!$K$4)="","",INDEX(B8:J8,Data!$K$4))</f>
        <v>Ok</v>
      </c>
      <c r="B8" s="56" t="s">
        <v>844</v>
      </c>
      <c r="C8" s="56" t="s">
        <v>843</v>
      </c>
      <c r="D8" s="180" t="s">
        <v>843</v>
      </c>
      <c r="E8" s="171" t="s">
        <v>843</v>
      </c>
      <c r="F8" s="56" t="s">
        <v>843</v>
      </c>
      <c r="G8" s="56" t="s">
        <v>849</v>
      </c>
      <c r="H8" s="56"/>
      <c r="I8" s="56"/>
      <c r="J8" s="56"/>
    </row>
    <row r="9" spans="1:10" ht="12">
      <c r="A9" s="59" t="str">
        <f>IF(INDEX(B9:J9,Data!$K$4)="","",INDEX(B9:J9,Data!$K$4))</f>
        <v>Nm3: m3 onder standaard condities</v>
      </c>
      <c r="B9" s="56" t="s">
        <v>663</v>
      </c>
      <c r="C9" s="56" t="s">
        <v>1047</v>
      </c>
      <c r="D9" s="56" t="s">
        <v>669</v>
      </c>
      <c r="E9" s="172" t="s">
        <v>664</v>
      </c>
      <c r="F9" s="56" t="s">
        <v>670</v>
      </c>
      <c r="G9" s="56" t="s">
        <v>850</v>
      </c>
      <c r="H9" s="56"/>
      <c r="I9" s="56"/>
      <c r="J9" s="56"/>
    </row>
    <row r="10" spans="1:10" ht="12">
      <c r="A10" s="59" t="str">
        <f>IF(INDEX(B10:J10,Data!$K$4)="","",INDEX(B10:J10,Data!$K$4))</f>
        <v>Taal</v>
      </c>
      <c r="B10" s="56" t="s">
        <v>190</v>
      </c>
      <c r="C10" s="56" t="s">
        <v>218</v>
      </c>
      <c r="D10" s="170" t="s">
        <v>495</v>
      </c>
      <c r="E10" s="171" t="s">
        <v>521</v>
      </c>
      <c r="F10" s="56" t="s">
        <v>671</v>
      </c>
      <c r="G10" s="56" t="s">
        <v>851</v>
      </c>
      <c r="H10" s="56"/>
      <c r="I10" s="56"/>
      <c r="J10" s="56"/>
    </row>
    <row r="11" spans="1:10" ht="12">
      <c r="A11" s="59" t="str">
        <f>IF(INDEX(B11:J11,Data!$K$4)="","",INDEX(B11:J11,Data!$K$4))</f>
        <v>ENGELS</v>
      </c>
      <c r="B11" s="56" t="s">
        <v>191</v>
      </c>
      <c r="C11" s="56" t="s">
        <v>219</v>
      </c>
      <c r="D11" s="173" t="s">
        <v>503</v>
      </c>
      <c r="E11" s="171" t="s">
        <v>522</v>
      </c>
      <c r="F11" s="56" t="s">
        <v>672</v>
      </c>
      <c r="G11" s="56" t="s">
        <v>852</v>
      </c>
      <c r="H11" s="56"/>
      <c r="I11" s="56"/>
      <c r="J11" s="56"/>
    </row>
    <row r="12" spans="1:10" ht="12">
      <c r="A12" s="59" t="str">
        <f>IF(INDEX(B12:J12,Data!$K$4)="","",INDEX(B12:J12,Data!$K$4))</f>
        <v>NEDERLANDS</v>
      </c>
      <c r="B12" s="56" t="s">
        <v>192</v>
      </c>
      <c r="C12" s="56" t="s">
        <v>220</v>
      </c>
      <c r="D12" s="173" t="s">
        <v>504</v>
      </c>
      <c r="E12" s="171" t="s">
        <v>524</v>
      </c>
      <c r="F12" s="56" t="s">
        <v>673</v>
      </c>
      <c r="G12" s="56" t="s">
        <v>853</v>
      </c>
      <c r="H12" s="56"/>
      <c r="I12" s="56"/>
      <c r="J12" s="56"/>
    </row>
    <row r="13" spans="1:10" ht="12">
      <c r="A13" s="59" t="str">
        <f>IF(INDEX(B13:J13,Data!$K$4)="","",INDEX(B13:J13,Data!$K$4))</f>
        <v>POOLS</v>
      </c>
      <c r="B13" s="56" t="s">
        <v>359</v>
      </c>
      <c r="C13" s="56" t="s">
        <v>360</v>
      </c>
      <c r="D13" s="173" t="s">
        <v>505</v>
      </c>
      <c r="E13" s="171" t="s">
        <v>665</v>
      </c>
      <c r="F13" s="56" t="s">
        <v>674</v>
      </c>
      <c r="G13" s="56" t="s">
        <v>854</v>
      </c>
      <c r="H13" s="56"/>
      <c r="I13" s="56"/>
      <c r="J13" s="56"/>
    </row>
    <row r="14" spans="1:10" ht="12">
      <c r="A14" s="59" t="str">
        <f>IF(INDEX(B14:J14,Data!$K$4)="","",INDEX(B14:J14,Data!$K$4))</f>
        <v>TSJECHISCH</v>
      </c>
      <c r="B14" s="56" t="s">
        <v>197</v>
      </c>
      <c r="C14" s="56" t="s">
        <v>221</v>
      </c>
      <c r="D14" s="173" t="s">
        <v>506</v>
      </c>
      <c r="E14" s="171" t="s">
        <v>523</v>
      </c>
      <c r="F14" s="56" t="s">
        <v>675</v>
      </c>
      <c r="G14" s="56" t="s">
        <v>855</v>
      </c>
      <c r="H14" s="56"/>
      <c r="I14" s="56"/>
      <c r="J14" s="56"/>
    </row>
    <row r="15" spans="1:10" ht="12">
      <c r="A15" s="59" t="str">
        <f>IF(INDEX(B15:J15,Data!$K$4)="","",INDEX(B15:J15,Data!$K$4))</f>
        <v>BULGAARS</v>
      </c>
      <c r="B15" s="56" t="s">
        <v>497</v>
      </c>
      <c r="C15" s="56" t="s">
        <v>498</v>
      </c>
      <c r="D15" s="173" t="s">
        <v>507</v>
      </c>
      <c r="E15" s="171" t="s">
        <v>666</v>
      </c>
      <c r="F15" s="56" t="s">
        <v>676</v>
      </c>
      <c r="G15" s="56" t="s">
        <v>856</v>
      </c>
      <c r="H15" s="56"/>
      <c r="I15" s="56"/>
      <c r="J15" s="56"/>
    </row>
    <row r="16" spans="1:10" ht="12">
      <c r="A16" s="59" t="str">
        <f>IF(INDEX(B16:J16,Data!$K$4)="","",INDEX(B16:J16,Data!$K$4))</f>
        <v>KROATISCH</v>
      </c>
      <c r="B16" s="56" t="s">
        <v>845</v>
      </c>
      <c r="C16" s="56" t="s">
        <v>846</v>
      </c>
      <c r="D16" s="173"/>
      <c r="E16" s="171"/>
      <c r="F16" s="56"/>
      <c r="G16" s="56" t="s">
        <v>857</v>
      </c>
      <c r="H16" s="56"/>
      <c r="I16" s="56"/>
      <c r="J16" s="56"/>
    </row>
    <row r="17" spans="1:10" ht="12">
      <c r="A17" s="59" t="str">
        <f>IF(INDEX(B17:J17,Data!$K$4)="","",INDEX(B17:J17,Data!$K$4))</f>
        <v>DUITS</v>
      </c>
      <c r="B17" s="56" t="s">
        <v>499</v>
      </c>
      <c r="C17" s="56" t="s">
        <v>501</v>
      </c>
      <c r="D17" s="173" t="s">
        <v>508</v>
      </c>
      <c r="E17" s="171" t="s">
        <v>667</v>
      </c>
      <c r="F17" s="56" t="s">
        <v>677</v>
      </c>
      <c r="G17" s="56" t="s">
        <v>858</v>
      </c>
      <c r="H17" s="56"/>
      <c r="I17" s="56"/>
      <c r="J17" s="56"/>
    </row>
    <row r="18" spans="1:10" ht="12">
      <c r="A18" s="59" t="str">
        <f>IF(INDEX(B18:J18,Data!$K$4)="","",INDEX(B18:J18,Data!$K$4))</f>
        <v>FRANS</v>
      </c>
      <c r="B18" s="56" t="s">
        <v>500</v>
      </c>
      <c r="C18" s="56" t="s">
        <v>502</v>
      </c>
      <c r="D18" s="173" t="s">
        <v>509</v>
      </c>
      <c r="E18" s="171" t="s">
        <v>668</v>
      </c>
      <c r="F18" s="56" t="s">
        <v>678</v>
      </c>
      <c r="G18" s="56" t="s">
        <v>509</v>
      </c>
      <c r="H18" s="56"/>
      <c r="I18" s="56"/>
      <c r="J18" s="56"/>
    </row>
    <row r="19" spans="1:10" ht="12">
      <c r="A19" s="58">
        <f>IF(INDEX(B19:J19,Data!$K$4)="",IF(B19="","",B19),INDEX(B19:J19,Data!$K$4))</f>
      </c>
      <c r="B19" s="56"/>
      <c r="C19" s="56"/>
      <c r="D19" s="170"/>
      <c r="E19" s="171"/>
      <c r="F19" s="56"/>
      <c r="G19" s="56"/>
      <c r="H19" s="56"/>
      <c r="I19" s="56"/>
      <c r="J19" s="56"/>
    </row>
    <row r="20" spans="1:10" ht="12">
      <c r="A20" s="58" t="str">
        <f>IF(INDEX(B20:J20,Data!$K$4)="","",INDEX(B20:J20,Data!$K$4))</f>
        <v>Installatie/eenheid</v>
      </c>
      <c r="B20" s="56" t="s">
        <v>39</v>
      </c>
      <c r="C20" s="56" t="s">
        <v>222</v>
      </c>
      <c r="D20" s="170" t="s">
        <v>362</v>
      </c>
      <c r="E20" s="171" t="s">
        <v>529</v>
      </c>
      <c r="F20" s="56" t="s">
        <v>679</v>
      </c>
      <c r="G20" s="56" t="s">
        <v>861</v>
      </c>
      <c r="H20" s="56"/>
      <c r="I20" s="56"/>
      <c r="J20" s="56"/>
    </row>
    <row r="21" spans="1:10" ht="12">
      <c r="A21" s="58" t="str">
        <f>IF(INDEX(B21:J21,Data!$K$4)="","",INDEX(B21:J21,Data!$K$4))</f>
        <v>Type</v>
      </c>
      <c r="B21" s="56" t="s">
        <v>23</v>
      </c>
      <c r="C21" s="56" t="s">
        <v>23</v>
      </c>
      <c r="D21" s="170" t="s">
        <v>363</v>
      </c>
      <c r="E21" s="171" t="s">
        <v>363</v>
      </c>
      <c r="F21" s="56" t="s">
        <v>680</v>
      </c>
      <c r="G21" s="56" t="s">
        <v>1008</v>
      </c>
      <c r="H21" s="56"/>
      <c r="I21" s="56"/>
      <c r="J21" s="56"/>
    </row>
    <row r="22" spans="1:10" ht="12">
      <c r="A22" s="58" t="str">
        <f>IF(INDEX(B22:J22,Data!$K$4)="","",INDEX(B22:J22,Data!$K$4))</f>
        <v>Thermisch vermogen</v>
      </c>
      <c r="B22" s="56" t="s">
        <v>40</v>
      </c>
      <c r="C22" s="56" t="s">
        <v>223</v>
      </c>
      <c r="D22" s="170" t="s">
        <v>364</v>
      </c>
      <c r="E22" s="171" t="s">
        <v>525</v>
      </c>
      <c r="F22" s="56" t="s">
        <v>681</v>
      </c>
      <c r="G22" s="56" t="s">
        <v>862</v>
      </c>
      <c r="H22" s="56"/>
      <c r="I22" s="56"/>
      <c r="J22" s="56"/>
    </row>
    <row r="23" spans="1:10" ht="12">
      <c r="A23" s="58" t="str">
        <f>IF(INDEX(B23:J23,Data!$K$4)="","",INDEX(B23:J23,Data!$K$4))</f>
        <v>Elektrisch rendement</v>
      </c>
      <c r="B23" s="56" t="s">
        <v>41</v>
      </c>
      <c r="C23" s="56" t="s">
        <v>224</v>
      </c>
      <c r="D23" s="173" t="s">
        <v>365</v>
      </c>
      <c r="E23" s="171" t="s">
        <v>526</v>
      </c>
      <c r="F23" s="56" t="s">
        <v>682</v>
      </c>
      <c r="G23" s="56" t="s">
        <v>860</v>
      </c>
      <c r="H23" s="56"/>
      <c r="I23" s="56"/>
      <c r="J23" s="56"/>
    </row>
    <row r="24" spans="1:10" ht="12">
      <c r="A24" s="58" t="str">
        <f>IF(INDEX(B24:J24,Data!$K$4)="","",INDEX(B24:J24,Data!$K$4))</f>
        <v>Elektrische belasting</v>
      </c>
      <c r="B24" s="56" t="s">
        <v>42</v>
      </c>
      <c r="C24" s="56" t="s">
        <v>241</v>
      </c>
      <c r="D24" s="170" t="s">
        <v>366</v>
      </c>
      <c r="E24" s="171" t="s">
        <v>527</v>
      </c>
      <c r="F24" s="56" t="s">
        <v>683</v>
      </c>
      <c r="G24" s="56" t="s">
        <v>863</v>
      </c>
      <c r="H24" s="56"/>
      <c r="I24" s="56"/>
      <c r="J24" s="56"/>
    </row>
    <row r="25" spans="1:10" ht="12">
      <c r="A25" s="58" t="str">
        <f>IF(INDEX(B25:J25,Data!$K$4)="","",INDEX(B25:J25,Data!$K$4))</f>
        <v>Max. stoomproductie</v>
      </c>
      <c r="B25" s="56" t="s">
        <v>179</v>
      </c>
      <c r="C25" s="56" t="s">
        <v>225</v>
      </c>
      <c r="D25" s="173" t="s">
        <v>510</v>
      </c>
      <c r="E25" s="171" t="s">
        <v>528</v>
      </c>
      <c r="F25" s="56" t="s">
        <v>684</v>
      </c>
      <c r="G25" s="56" t="s">
        <v>934</v>
      </c>
      <c r="H25" s="56"/>
      <c r="I25" s="56"/>
      <c r="J25" s="56"/>
    </row>
    <row r="26" spans="1:10" ht="22.5">
      <c r="A26" s="58" t="str">
        <f>IF(INDEX(B26:J26,Data!$K$4)="","",INDEX(B26:J26,Data!$K$4))</f>
        <v>Bedrijfsvoering</v>
      </c>
      <c r="B26" s="56" t="s">
        <v>44</v>
      </c>
      <c r="C26" s="56" t="s">
        <v>226</v>
      </c>
      <c r="D26" s="170" t="s">
        <v>367</v>
      </c>
      <c r="E26" s="171" t="s">
        <v>530</v>
      </c>
      <c r="F26" s="56" t="s">
        <v>685</v>
      </c>
      <c r="G26" s="56" t="s">
        <v>864</v>
      </c>
      <c r="H26" s="56"/>
      <c r="I26" s="56"/>
      <c r="J26" s="56"/>
    </row>
    <row r="27" spans="1:10" ht="12">
      <c r="A27" s="58" t="str">
        <f>IF(INDEX(B27:J27,Data!$K$4)="","",INDEX(B27:J27,Data!$K$4))</f>
        <v>Brandstof</v>
      </c>
      <c r="B27" s="56" t="s">
        <v>45</v>
      </c>
      <c r="C27" s="56" t="s">
        <v>227</v>
      </c>
      <c r="D27" s="170" t="s">
        <v>368</v>
      </c>
      <c r="E27" s="171" t="s">
        <v>531</v>
      </c>
      <c r="F27" s="56" t="s">
        <v>686</v>
      </c>
      <c r="G27" s="56" t="s">
        <v>865</v>
      </c>
      <c r="H27" s="56"/>
      <c r="I27" s="56"/>
      <c r="J27" s="56"/>
    </row>
    <row r="28" spans="1:10" ht="12">
      <c r="A28" s="58" t="str">
        <f>IF(INDEX(B28:J28,Data!$K$4)="","",INDEX(B28:J28,Data!$K$4))</f>
        <v>AARDGAS</v>
      </c>
      <c r="B28" s="56" t="s">
        <v>168</v>
      </c>
      <c r="C28" s="56" t="s">
        <v>819</v>
      </c>
      <c r="D28" s="56" t="s">
        <v>168</v>
      </c>
      <c r="E28" s="56" t="s">
        <v>168</v>
      </c>
      <c r="F28" s="56" t="s">
        <v>820</v>
      </c>
      <c r="G28" s="56" t="s">
        <v>866</v>
      </c>
      <c r="H28" s="56"/>
      <c r="I28" s="56"/>
      <c r="J28" s="56"/>
    </row>
    <row r="29" spans="1:10" ht="12">
      <c r="A29" s="58" t="str">
        <f>IF(INDEX(B29:J29,Data!$K$4)="","",INDEX(B29:J29,Data!$K$4))</f>
        <v>DIESEL</v>
      </c>
      <c r="B29" s="56" t="s">
        <v>169</v>
      </c>
      <c r="C29" s="56" t="s">
        <v>169</v>
      </c>
      <c r="D29" s="56" t="s">
        <v>169</v>
      </c>
      <c r="E29" s="56" t="s">
        <v>169</v>
      </c>
      <c r="F29" s="56" t="s">
        <v>822</v>
      </c>
      <c r="G29" s="56" t="s">
        <v>867</v>
      </c>
      <c r="H29" s="56"/>
      <c r="I29" s="56"/>
      <c r="J29" s="56"/>
    </row>
    <row r="30" spans="1:10" ht="12">
      <c r="A30" s="58" t="str">
        <f>IF(INDEX(B30:J30,Data!$K$4)="","",INDEX(B30:J30,Data!$K$4))</f>
        <v>HFO</v>
      </c>
      <c r="B30" s="56" t="s">
        <v>172</v>
      </c>
      <c r="C30" s="56" t="s">
        <v>172</v>
      </c>
      <c r="D30" s="56" t="s">
        <v>172</v>
      </c>
      <c r="E30" s="56" t="s">
        <v>172</v>
      </c>
      <c r="F30" s="56" t="s">
        <v>823</v>
      </c>
      <c r="G30" s="56" t="s">
        <v>868</v>
      </c>
      <c r="H30" s="56"/>
      <c r="I30" s="56"/>
      <c r="J30" s="56"/>
    </row>
    <row r="31" spans="1:10" ht="12">
      <c r="A31" s="58" t="str">
        <f>IF(INDEX(B31:J31,Data!$K$4)="","",INDEX(B31:J31,Data!$K$4))</f>
        <v>LFO</v>
      </c>
      <c r="B31" s="56" t="s">
        <v>0</v>
      </c>
      <c r="C31" s="56" t="s">
        <v>0</v>
      </c>
      <c r="D31" s="56" t="s">
        <v>0</v>
      </c>
      <c r="E31" s="56" t="s">
        <v>0</v>
      </c>
      <c r="F31" s="56" t="s">
        <v>824</v>
      </c>
      <c r="G31" s="56" t="s">
        <v>869</v>
      </c>
      <c r="H31" s="56"/>
      <c r="I31" s="56"/>
      <c r="J31" s="56"/>
    </row>
    <row r="32" spans="1:10" ht="12">
      <c r="A32" s="58" t="str">
        <f>IF(INDEX(B32:J32,Data!$K$4)="","",INDEX(B32:J32,Data!$K$4))</f>
        <v>KOLEN</v>
      </c>
      <c r="B32" s="56" t="s">
        <v>170</v>
      </c>
      <c r="C32" s="56" t="s">
        <v>821</v>
      </c>
      <c r="D32" s="56" t="s">
        <v>170</v>
      </c>
      <c r="E32" s="56" t="s">
        <v>170</v>
      </c>
      <c r="F32" s="56" t="s">
        <v>825</v>
      </c>
      <c r="G32" s="56" t="s">
        <v>870</v>
      </c>
      <c r="H32" s="56"/>
      <c r="I32" s="56"/>
      <c r="J32" s="56"/>
    </row>
    <row r="33" spans="1:10" ht="12">
      <c r="A33" s="58" t="str">
        <f>IF(INDEX(B33:J33,Data!$K$4)="","",INDEX(B33:J33,Data!$K$4))</f>
        <v>Berekeningsmethode</v>
      </c>
      <c r="B33" s="56" t="s">
        <v>46</v>
      </c>
      <c r="C33" s="56" t="s">
        <v>228</v>
      </c>
      <c r="D33" s="170" t="s">
        <v>369</v>
      </c>
      <c r="E33" s="171" t="s">
        <v>532</v>
      </c>
      <c r="F33" s="56" t="s">
        <v>687</v>
      </c>
      <c r="G33" s="56" t="s">
        <v>871</v>
      </c>
      <c r="H33" s="56"/>
      <c r="I33" s="56"/>
      <c r="J33" s="56"/>
    </row>
    <row r="34" spans="1:10" ht="12">
      <c r="A34" s="58" t="str">
        <f>IF(INDEX(B34:J34,Data!$K$4)="","",INDEX(B34:J34,Data!$K$4))</f>
        <v>Onderste verbrandingswaarde</v>
      </c>
      <c r="B34" s="56" t="s">
        <v>37</v>
      </c>
      <c r="C34" s="56" t="s">
        <v>229</v>
      </c>
      <c r="D34" s="170" t="s">
        <v>370</v>
      </c>
      <c r="E34" s="171" t="s">
        <v>533</v>
      </c>
      <c r="F34" s="56" t="s">
        <v>688</v>
      </c>
      <c r="G34" s="56" t="s">
        <v>872</v>
      </c>
      <c r="H34" s="56"/>
      <c r="I34" s="56"/>
      <c r="J34" s="56"/>
    </row>
    <row r="35" spans="1:10" ht="12">
      <c r="A35" s="58" t="str">
        <f>IF(INDEX(B35:J35,Data!$K$4)="","",INDEX(B35:J35,Data!$K$4))</f>
        <v>Bovenste verbrandingswaarde</v>
      </c>
      <c r="B35" s="56" t="s">
        <v>57</v>
      </c>
      <c r="C35" s="56" t="s">
        <v>230</v>
      </c>
      <c r="D35" s="170" t="s">
        <v>371</v>
      </c>
      <c r="E35" s="171" t="s">
        <v>534</v>
      </c>
      <c r="F35" s="56" t="s">
        <v>689</v>
      </c>
      <c r="G35" s="56" t="s">
        <v>873</v>
      </c>
      <c r="H35" s="56"/>
      <c r="I35" s="56"/>
      <c r="J35" s="56"/>
    </row>
    <row r="36" spans="1:10" ht="12">
      <c r="A36" s="58" t="str">
        <f>IF(INDEX(B36:J36,Data!$K$4)="","",INDEX(B36:J36,Data!$K$4))</f>
        <v>Wobbe-index</v>
      </c>
      <c r="B36" s="56" t="s">
        <v>2</v>
      </c>
      <c r="C36" s="56" t="s">
        <v>2</v>
      </c>
      <c r="D36" s="170" t="s">
        <v>372</v>
      </c>
      <c r="E36" s="171" t="s">
        <v>535</v>
      </c>
      <c r="F36" s="56" t="s">
        <v>690</v>
      </c>
      <c r="G36" s="56" t="s">
        <v>874</v>
      </c>
      <c r="H36" s="56"/>
      <c r="I36" s="56"/>
      <c r="J36" s="56"/>
    </row>
    <row r="37" spans="1:10" ht="12">
      <c r="A37" s="58" t="str">
        <f>IF(INDEX(B37:J37,Data!$K$4)="","",INDEX(B37:J37,Data!$K$4))</f>
        <v>O2</v>
      </c>
      <c r="B37" s="56" t="s">
        <v>201</v>
      </c>
      <c r="C37" s="56" t="s">
        <v>201</v>
      </c>
      <c r="D37" s="170" t="s">
        <v>201</v>
      </c>
      <c r="E37" s="171" t="s">
        <v>201</v>
      </c>
      <c r="F37" s="56" t="s">
        <v>201</v>
      </c>
      <c r="G37" s="56" t="s">
        <v>201</v>
      </c>
      <c r="H37" s="56"/>
      <c r="I37" s="56"/>
      <c r="J37" s="56"/>
    </row>
    <row r="38" spans="1:10" ht="12">
      <c r="A38" s="58" t="str">
        <f>IF(INDEX(B38:J38,Data!$K$4)="","",INDEX(B38:J38,Data!$K$4))</f>
        <v>SO2</v>
      </c>
      <c r="B38" s="56" t="s">
        <v>36</v>
      </c>
      <c r="C38" s="56" t="s">
        <v>36</v>
      </c>
      <c r="D38" s="170" t="s">
        <v>36</v>
      </c>
      <c r="E38" s="171" t="s">
        <v>36</v>
      </c>
      <c r="F38" s="56" t="s">
        <v>36</v>
      </c>
      <c r="G38" s="56" t="s">
        <v>36</v>
      </c>
      <c r="H38" s="56"/>
      <c r="I38" s="56"/>
      <c r="J38" s="56"/>
    </row>
    <row r="39" spans="1:10" ht="12">
      <c r="A39" s="58" t="str">
        <f>IF(INDEX(B39:J39,Data!$K$4)="","",INDEX(B39:J39,Data!$K$4))</f>
        <v>CO2</v>
      </c>
      <c r="B39" s="56" t="s">
        <v>20</v>
      </c>
      <c r="C39" s="56" t="s">
        <v>20</v>
      </c>
      <c r="D39" s="170" t="s">
        <v>20</v>
      </c>
      <c r="E39" s="171" t="s">
        <v>20</v>
      </c>
      <c r="F39" s="56" t="s">
        <v>20</v>
      </c>
      <c r="G39" s="56" t="s">
        <v>20</v>
      </c>
      <c r="H39" s="56"/>
      <c r="I39" s="56"/>
      <c r="J39" s="56"/>
    </row>
    <row r="40" spans="1:10" ht="12">
      <c r="A40" s="58" t="str">
        <f>IF(INDEX(B40:J40,Data!$K$4)="","",INDEX(B40:J40,Data!$K$4))</f>
        <v>NOx</v>
      </c>
      <c r="B40" s="56" t="s">
        <v>132</v>
      </c>
      <c r="C40" s="56" t="s">
        <v>132</v>
      </c>
      <c r="D40" s="170" t="s">
        <v>132</v>
      </c>
      <c r="E40" s="174" t="s">
        <v>132</v>
      </c>
      <c r="F40" s="56" t="s">
        <v>132</v>
      </c>
      <c r="G40" s="56" t="s">
        <v>132</v>
      </c>
      <c r="H40" s="56"/>
      <c r="I40" s="56"/>
      <c r="J40" s="56"/>
    </row>
    <row r="41" spans="1:10" ht="12">
      <c r="A41" s="58" t="str">
        <f>IF(INDEX(B41:J41,Data!$K$4)="","",INDEX(B41:J41,Data!$K$4))</f>
        <v>H2O</v>
      </c>
      <c r="B41" s="56" t="s">
        <v>1048</v>
      </c>
      <c r="C41" s="56" t="s">
        <v>1048</v>
      </c>
      <c r="D41" s="56" t="s">
        <v>1048</v>
      </c>
      <c r="E41" s="56" t="s">
        <v>1048</v>
      </c>
      <c r="F41" s="56" t="s">
        <v>1048</v>
      </c>
      <c r="G41" s="56" t="s">
        <v>1048</v>
      </c>
      <c r="H41" s="56"/>
      <c r="I41" s="56"/>
      <c r="J41" s="56"/>
    </row>
    <row r="42" spans="1:10" ht="22.5">
      <c r="A42" s="58" t="str">
        <f>IF(INDEX(B42:J42,Data!$K$4)="","",INDEX(B42:J42,Data!$K$4))</f>
        <v>Stoichiometrisch luchtverbruik</v>
      </c>
      <c r="B42" s="56" t="s">
        <v>60</v>
      </c>
      <c r="C42" s="56" t="s">
        <v>231</v>
      </c>
      <c r="D42" s="170" t="s">
        <v>373</v>
      </c>
      <c r="E42" s="171" t="s">
        <v>607</v>
      </c>
      <c r="F42" s="56" t="s">
        <v>691</v>
      </c>
      <c r="G42" s="56" t="s">
        <v>875</v>
      </c>
      <c r="H42" s="56"/>
      <c r="I42" s="56"/>
      <c r="J42" s="56"/>
    </row>
    <row r="43" spans="1:10" ht="22.5">
      <c r="A43" s="58" t="str">
        <f>IF(INDEX(B43:J43,Data!$K$4)="","",INDEX(B43:J43,Data!$K$4))</f>
        <v>Droog luchtverbruik</v>
      </c>
      <c r="B43" s="56" t="s">
        <v>107</v>
      </c>
      <c r="C43" s="56" t="s">
        <v>232</v>
      </c>
      <c r="D43" s="170" t="s">
        <v>470</v>
      </c>
      <c r="E43" s="171" t="s">
        <v>611</v>
      </c>
      <c r="F43" s="56" t="s">
        <v>692</v>
      </c>
      <c r="G43" s="56" t="s">
        <v>876</v>
      </c>
      <c r="H43" s="56"/>
      <c r="I43" s="56"/>
      <c r="J43" s="56"/>
    </row>
    <row r="44" spans="1:10" ht="22.5">
      <c r="A44" s="58" t="str">
        <f>IF(INDEX(B44:J44,Data!$K$4)="","",INDEX(B44:J44,Data!$K$4))</f>
        <v>Stoichiometrisch rookgasvolume (droog)</v>
      </c>
      <c r="B44" s="56" t="s">
        <v>130</v>
      </c>
      <c r="C44" s="56" t="s">
        <v>233</v>
      </c>
      <c r="D44" s="170" t="s">
        <v>374</v>
      </c>
      <c r="E44" s="171" t="s">
        <v>608</v>
      </c>
      <c r="F44" s="56" t="s">
        <v>818</v>
      </c>
      <c r="G44" s="56" t="s">
        <v>887</v>
      </c>
      <c r="H44" s="56"/>
      <c r="I44" s="56"/>
      <c r="J44" s="56"/>
    </row>
    <row r="45" spans="1:10" ht="22.5">
      <c r="A45" s="58" t="str">
        <f>IF(INDEX(B45:J45,Data!$K$4)="","",INDEX(B45:J45,Data!$K$4))</f>
        <v>Stoichiometrisch rookgasvolume</v>
      </c>
      <c r="B45" s="56" t="s">
        <v>47</v>
      </c>
      <c r="C45" s="56" t="s">
        <v>234</v>
      </c>
      <c r="D45" s="170" t="s">
        <v>375</v>
      </c>
      <c r="E45" s="171" t="s">
        <v>609</v>
      </c>
      <c r="F45" s="56" t="s">
        <v>693</v>
      </c>
      <c r="G45" s="56" t="s">
        <v>886</v>
      </c>
      <c r="H45" s="56"/>
      <c r="I45" s="56"/>
      <c r="J45" s="56"/>
    </row>
    <row r="46" spans="1:10" ht="12">
      <c r="A46" s="58" t="str">
        <f>IF(INDEX(B46:J46,Data!$K$4)="","",INDEX(B46:J46,Data!$K$4))</f>
        <v>droog</v>
      </c>
      <c r="B46" s="56" t="s">
        <v>209</v>
      </c>
      <c r="C46" s="56" t="s">
        <v>235</v>
      </c>
      <c r="D46" s="170" t="s">
        <v>376</v>
      </c>
      <c r="E46" s="171" t="s">
        <v>536</v>
      </c>
      <c r="F46" s="56" t="s">
        <v>694</v>
      </c>
      <c r="G46" s="56" t="s">
        <v>877</v>
      </c>
      <c r="H46" s="56"/>
      <c r="I46" s="56"/>
      <c r="J46" s="56"/>
    </row>
    <row r="47" spans="1:10" ht="12">
      <c r="A47" s="58" t="str">
        <f>IF(INDEX(B47:J47,Data!$K$4)="","",INDEX(B47:J47,Data!$K$4))</f>
        <v>nat</v>
      </c>
      <c r="B47" s="56" t="s">
        <v>210</v>
      </c>
      <c r="C47" s="56" t="s">
        <v>236</v>
      </c>
      <c r="D47" s="170" t="s">
        <v>377</v>
      </c>
      <c r="E47" s="171" t="s">
        <v>537</v>
      </c>
      <c r="F47" s="56" t="s">
        <v>695</v>
      </c>
      <c r="G47" s="56" t="s">
        <v>878</v>
      </c>
      <c r="H47" s="56"/>
      <c r="I47" s="56"/>
      <c r="J47" s="56"/>
    </row>
    <row r="48" spans="1:10" ht="12">
      <c r="A48" s="58" t="str">
        <f>IF(INDEX(B48:J48,Data!$K$4)="","",INDEX(B48:J48,Data!$K$4))</f>
        <v>Toepassing</v>
      </c>
      <c r="B48" s="56" t="s">
        <v>48</v>
      </c>
      <c r="C48" s="56" t="s">
        <v>237</v>
      </c>
      <c r="D48" s="170" t="s">
        <v>378</v>
      </c>
      <c r="E48" s="171" t="s">
        <v>612</v>
      </c>
      <c r="F48" s="56" t="s">
        <v>680</v>
      </c>
      <c r="G48" s="56" t="s">
        <v>881</v>
      </c>
      <c r="H48" s="56"/>
      <c r="I48" s="56"/>
      <c r="J48" s="56"/>
    </row>
    <row r="49" spans="1:10" ht="12">
      <c r="A49" s="58" t="str">
        <f>IF(INDEX(B49:J49,Data!$K$4)="","",INDEX(B49:J49,Data!$K$4))</f>
        <v>Verbruik</v>
      </c>
      <c r="B49" s="56" t="s">
        <v>49</v>
      </c>
      <c r="C49" s="56" t="s">
        <v>238</v>
      </c>
      <c r="D49" s="170" t="s">
        <v>379</v>
      </c>
      <c r="E49" s="171" t="s">
        <v>613</v>
      </c>
      <c r="F49" s="56" t="s">
        <v>696</v>
      </c>
      <c r="G49" s="56" t="s">
        <v>880</v>
      </c>
      <c r="H49" s="56"/>
      <c r="I49" s="56"/>
      <c r="J49" s="56"/>
    </row>
    <row r="50" spans="1:10" ht="12">
      <c r="A50" s="58" t="str">
        <f>IF(INDEX(B50:J50,Data!$K$4)="","",INDEX(B50:J50,Data!$K$4))</f>
        <v>Energieverbruik</v>
      </c>
      <c r="B50" s="56" t="s">
        <v>50</v>
      </c>
      <c r="C50" s="56" t="s">
        <v>239</v>
      </c>
      <c r="D50" s="170" t="s">
        <v>380</v>
      </c>
      <c r="E50" s="171" t="s">
        <v>614</v>
      </c>
      <c r="F50" s="56" t="s">
        <v>697</v>
      </c>
      <c r="G50" s="56" t="s">
        <v>879</v>
      </c>
      <c r="H50" s="56"/>
      <c r="I50" s="56"/>
      <c r="J50" s="56"/>
    </row>
    <row r="51" spans="1:10" ht="12">
      <c r="A51" s="58" t="str">
        <f>IF(INDEX(B51:J51,Data!$K$4)="","",INDEX(B51:J51,Data!$K$4))</f>
        <v>Gemiddelde belasting</v>
      </c>
      <c r="B51" s="56" t="s">
        <v>55</v>
      </c>
      <c r="C51" s="56" t="s">
        <v>240</v>
      </c>
      <c r="D51" s="170" t="s">
        <v>381</v>
      </c>
      <c r="E51" s="171" t="s">
        <v>615</v>
      </c>
      <c r="F51" s="56" t="s">
        <v>698</v>
      </c>
      <c r="G51" s="56" t="s">
        <v>882</v>
      </c>
      <c r="H51" s="56"/>
      <c r="I51" s="56"/>
      <c r="J51" s="56"/>
    </row>
    <row r="52" spans="1:10" ht="12">
      <c r="A52" s="58" t="str">
        <f>IF(INDEX(B52:J52,Data!$K$4)="","",INDEX(B52:J52,Data!$K$4))</f>
        <v>Gehalte fossiele brandstof</v>
      </c>
      <c r="B52" s="56" t="s">
        <v>38</v>
      </c>
      <c r="C52" s="56" t="s">
        <v>242</v>
      </c>
      <c r="D52" s="170" t="s">
        <v>382</v>
      </c>
      <c r="E52" s="171" t="s">
        <v>538</v>
      </c>
      <c r="F52" s="56" t="s">
        <v>699</v>
      </c>
      <c r="G52" s="56" t="s">
        <v>883</v>
      </c>
      <c r="H52" s="56"/>
      <c r="I52" s="56"/>
      <c r="J52" s="56"/>
    </row>
    <row r="53" spans="1:10" ht="12">
      <c r="A53" s="58" t="str">
        <f>IF(INDEX(B53:J53,Data!$K$4)="","",INDEX(B53:J53,Data!$K$4))</f>
        <v>voor handel</v>
      </c>
      <c r="B53" s="56" t="s">
        <v>182</v>
      </c>
      <c r="C53" s="56" t="s">
        <v>243</v>
      </c>
      <c r="D53" s="170" t="s">
        <v>383</v>
      </c>
      <c r="E53" s="171" t="s">
        <v>539</v>
      </c>
      <c r="F53" s="56" t="s">
        <v>700</v>
      </c>
      <c r="G53" s="56" t="s">
        <v>884</v>
      </c>
      <c r="H53" s="56"/>
      <c r="I53" s="56"/>
      <c r="J53" s="56"/>
    </row>
    <row r="54" spans="1:10" ht="12">
      <c r="A54" s="58" t="str">
        <f>IF(INDEX(B54:J54,Data!$K$4)="","",INDEX(B54:J54,Data!$K$4))</f>
        <v>Rookgas</v>
      </c>
      <c r="B54" s="56" t="s">
        <v>131</v>
      </c>
      <c r="C54" s="56" t="s">
        <v>357</v>
      </c>
      <c r="D54" s="170" t="s">
        <v>384</v>
      </c>
      <c r="E54" s="171" t="s">
        <v>540</v>
      </c>
      <c r="F54" s="56" t="s">
        <v>701</v>
      </c>
      <c r="G54" s="56" t="s">
        <v>885</v>
      </c>
      <c r="H54" s="56"/>
      <c r="I54" s="56"/>
      <c r="J54" s="56"/>
    </row>
    <row r="55" spans="1:10" ht="12">
      <c r="A55" s="58" t="str">
        <f>IF(INDEX(B55:J55,Data!$K$4)="","",INDEX(B55:J55,Data!$K$4))</f>
        <v>Concentratie in droog rookgas</v>
      </c>
      <c r="B55" s="56" t="s">
        <v>155</v>
      </c>
      <c r="C55" s="56" t="s">
        <v>244</v>
      </c>
      <c r="D55" s="170" t="s">
        <v>385</v>
      </c>
      <c r="E55" s="171" t="s">
        <v>541</v>
      </c>
      <c r="F55" s="56" t="s">
        <v>702</v>
      </c>
      <c r="G55" s="56" t="s">
        <v>1009</v>
      </c>
      <c r="H55" s="56"/>
      <c r="I55" s="56"/>
      <c r="J55" s="56"/>
    </row>
    <row r="56" spans="1:10" ht="12">
      <c r="A56" s="58" t="str">
        <f>IF(INDEX(B56:J56,Data!$K$4)="","",INDEX(B56:J56,Data!$K$4))</f>
        <v>Emissie</v>
      </c>
      <c r="B56" s="56" t="s">
        <v>133</v>
      </c>
      <c r="C56" s="56" t="s">
        <v>245</v>
      </c>
      <c r="D56" s="170" t="s">
        <v>386</v>
      </c>
      <c r="E56" s="171" t="s">
        <v>542</v>
      </c>
      <c r="F56" s="56" t="s">
        <v>703</v>
      </c>
      <c r="G56" s="56" t="s">
        <v>888</v>
      </c>
      <c r="H56" s="56"/>
      <c r="I56" s="56"/>
      <c r="J56" s="56"/>
    </row>
    <row r="57" spans="1:10" ht="12">
      <c r="A57" s="58" t="str">
        <f>IF(INDEX(B57:J57,Data!$K$4)="","",INDEX(B57:J57,Data!$K$4))</f>
        <v>Rookgasdebiet (droog)</v>
      </c>
      <c r="B57" s="56" t="s">
        <v>180</v>
      </c>
      <c r="C57" s="56" t="s">
        <v>246</v>
      </c>
      <c r="D57" s="170" t="s">
        <v>387</v>
      </c>
      <c r="E57" s="171" t="s">
        <v>543</v>
      </c>
      <c r="F57" s="56" t="s">
        <v>704</v>
      </c>
      <c r="G57" s="56" t="s">
        <v>889</v>
      </c>
      <c r="H57" s="56"/>
      <c r="I57" s="56"/>
      <c r="J57" s="56"/>
    </row>
    <row r="58" spans="1:10" ht="12">
      <c r="A58" s="58" t="str">
        <f>IF(INDEX(B58:J58,Data!$K$4)="","",INDEX(B58:J58,Data!$K$4))</f>
        <v>Rookgasdebiet (nat)</v>
      </c>
      <c r="B58" s="56" t="s">
        <v>211</v>
      </c>
      <c r="C58" s="56" t="s">
        <v>247</v>
      </c>
      <c r="D58" s="170" t="s">
        <v>388</v>
      </c>
      <c r="E58" s="171" t="s">
        <v>544</v>
      </c>
      <c r="F58" s="56" t="s">
        <v>705</v>
      </c>
      <c r="G58" s="56" t="s">
        <v>890</v>
      </c>
      <c r="H58" s="56"/>
      <c r="I58" s="56"/>
      <c r="J58" s="56"/>
    </row>
    <row r="59" spans="1:10" ht="12">
      <c r="A59" s="58" t="str">
        <f>IF(INDEX(B59:J59,Data!$K$4)="","",INDEX(B59:J59,Data!$K$4))</f>
        <v>Debiet (droog)</v>
      </c>
      <c r="B59" s="56" t="s">
        <v>181</v>
      </c>
      <c r="C59" s="56" t="s">
        <v>248</v>
      </c>
      <c r="D59" s="170" t="s">
        <v>404</v>
      </c>
      <c r="E59" s="171" t="s">
        <v>545</v>
      </c>
      <c r="F59" s="56" t="s">
        <v>706</v>
      </c>
      <c r="G59" s="56" t="s">
        <v>891</v>
      </c>
      <c r="H59" s="56"/>
      <c r="I59" s="56"/>
      <c r="J59" s="56"/>
    </row>
    <row r="60" spans="1:10" ht="22.5">
      <c r="A60" s="58" t="str">
        <f>IF(INDEX(B60:J60,Data!$K$4)="","",INDEX(B60:J60,Data!$K$4))</f>
        <v>Invoer emissiegegevens</v>
      </c>
      <c r="B60" s="56" t="s">
        <v>149</v>
      </c>
      <c r="C60" s="56" t="s">
        <v>249</v>
      </c>
      <c r="D60" s="170" t="s">
        <v>389</v>
      </c>
      <c r="E60" s="171" t="s">
        <v>606</v>
      </c>
      <c r="F60" s="56" t="s">
        <v>707</v>
      </c>
      <c r="G60" s="56" t="s">
        <v>892</v>
      </c>
      <c r="H60" s="56"/>
      <c r="I60" s="56"/>
      <c r="J60" s="56"/>
    </row>
    <row r="61" spans="1:10" ht="12">
      <c r="A61" s="58" t="str">
        <f>IF(INDEX(B61:J61,Data!$K$4)="","",INDEX(B61:J61,Data!$K$4))</f>
        <v>Validatietest</v>
      </c>
      <c r="B61" s="56" t="s">
        <v>139</v>
      </c>
      <c r="C61" s="56" t="s">
        <v>250</v>
      </c>
      <c r="D61" s="170" t="s">
        <v>390</v>
      </c>
      <c r="E61" s="171" t="s">
        <v>546</v>
      </c>
      <c r="F61" s="56" t="s">
        <v>839</v>
      </c>
      <c r="G61" s="56" t="s">
        <v>893</v>
      </c>
      <c r="H61" s="56"/>
      <c r="I61" s="56"/>
      <c r="J61" s="56"/>
    </row>
    <row r="62" spans="1:10" ht="22.5">
      <c r="A62" s="58" t="str">
        <f>IF(INDEX(B62:J62,Data!$K$4)="","",INDEX(B62:J62,Data!$K$4))</f>
        <v>Wijzig gegevens gasvormige brandstoffen</v>
      </c>
      <c r="B62" s="56" t="s">
        <v>178</v>
      </c>
      <c r="C62" s="56" t="s">
        <v>828</v>
      </c>
      <c r="D62" s="170" t="s">
        <v>391</v>
      </c>
      <c r="E62" s="171" t="s">
        <v>547</v>
      </c>
      <c r="F62" s="56" t="s">
        <v>708</v>
      </c>
      <c r="G62" s="56" t="s">
        <v>894</v>
      </c>
      <c r="H62" s="56"/>
      <c r="I62" s="56"/>
      <c r="J62" s="56"/>
    </row>
    <row r="63" spans="1:10" ht="12">
      <c r="A63" s="58" t="str">
        <f>IF(INDEX(B63:J63,Data!$K$4)="","",INDEX(B63:J63,Data!$K$4))</f>
        <v>Wijzig gegevens vloeibare brandstoffen</v>
      </c>
      <c r="B63" s="56" t="s">
        <v>140</v>
      </c>
      <c r="C63" s="56" t="s">
        <v>829</v>
      </c>
      <c r="D63" s="170" t="s">
        <v>392</v>
      </c>
      <c r="E63" s="171" t="s">
        <v>548</v>
      </c>
      <c r="F63" s="56" t="s">
        <v>709</v>
      </c>
      <c r="G63" s="56" t="s">
        <v>895</v>
      </c>
      <c r="H63" s="56"/>
      <c r="I63" s="56"/>
      <c r="J63" s="56"/>
    </row>
    <row r="64" spans="1:10" ht="12">
      <c r="A64" s="58" t="str">
        <f>IF(INDEX(B64:J64,Data!$K$4)="","",INDEX(B64:J64,Data!$K$4))</f>
        <v>Wijzig gegevens vaste brandstoffen</v>
      </c>
      <c r="B64" s="56" t="s">
        <v>141</v>
      </c>
      <c r="C64" s="56" t="s">
        <v>830</v>
      </c>
      <c r="D64" s="170" t="s">
        <v>393</v>
      </c>
      <c r="E64" s="171" t="s">
        <v>549</v>
      </c>
      <c r="F64" s="56" t="s">
        <v>710</v>
      </c>
      <c r="G64" s="56" t="s">
        <v>896</v>
      </c>
      <c r="H64" s="56"/>
      <c r="I64" s="56"/>
      <c r="J64" s="56"/>
    </row>
    <row r="65" spans="1:10" ht="12">
      <c r="A65" s="58" t="str">
        <f>IF(INDEX(B65:J65,Data!$K$4)="","",INDEX(B65:J65,Data!$K$4))</f>
        <v>MW</v>
      </c>
      <c r="B65" s="56" t="s">
        <v>21</v>
      </c>
      <c r="C65" s="56" t="s">
        <v>21</v>
      </c>
      <c r="D65" s="170" t="s">
        <v>21</v>
      </c>
      <c r="E65" s="171" t="s">
        <v>21</v>
      </c>
      <c r="F65" s="56" t="s">
        <v>21</v>
      </c>
      <c r="G65" s="56" t="s">
        <v>21</v>
      </c>
      <c r="H65" s="56"/>
      <c r="I65" s="56"/>
      <c r="J65" s="56"/>
    </row>
    <row r="66" spans="1:10" ht="12">
      <c r="A66" s="58" t="str">
        <f>IF(INDEX(B66:J66,Data!$K$4)="","",INDEX(B66:J66,Data!$K$4))</f>
        <v>ton/uur</v>
      </c>
      <c r="B66" s="56" t="s">
        <v>54</v>
      </c>
      <c r="C66" s="56" t="s">
        <v>251</v>
      </c>
      <c r="D66" s="170" t="s">
        <v>394</v>
      </c>
      <c r="E66" s="171" t="s">
        <v>550</v>
      </c>
      <c r="F66" s="56" t="s">
        <v>827</v>
      </c>
      <c r="G66" s="56" t="s">
        <v>905</v>
      </c>
      <c r="H66" s="56"/>
      <c r="I66" s="56"/>
      <c r="J66" s="56"/>
    </row>
    <row r="67" spans="1:10" ht="12">
      <c r="A67" s="58" t="str">
        <f>IF(INDEX(B67:J67,Data!$K$4)="","",INDEX(B67:J67,Data!$K$4))</f>
        <v>uur/jaar</v>
      </c>
      <c r="B67" s="56" t="s">
        <v>43</v>
      </c>
      <c r="C67" s="56" t="s">
        <v>252</v>
      </c>
      <c r="D67" s="170" t="s">
        <v>395</v>
      </c>
      <c r="E67" s="171" t="s">
        <v>551</v>
      </c>
      <c r="F67" s="56" t="s">
        <v>711</v>
      </c>
      <c r="G67" s="56" t="s">
        <v>897</v>
      </c>
      <c r="H67" s="56"/>
      <c r="I67" s="56"/>
      <c r="J67" s="56"/>
    </row>
    <row r="68" spans="1:10" ht="12">
      <c r="A68" s="58" t="str">
        <f>IF(INDEX(B68:J68,Data!$K$4)="","",INDEX(B68:J68,Data!$K$4))</f>
        <v>Totaal</v>
      </c>
      <c r="B68" s="56" t="s">
        <v>98</v>
      </c>
      <c r="C68" s="56" t="s">
        <v>253</v>
      </c>
      <c r="D68" s="170" t="s">
        <v>396</v>
      </c>
      <c r="E68" s="171" t="s">
        <v>616</v>
      </c>
      <c r="F68" s="56" t="s">
        <v>712</v>
      </c>
      <c r="G68" s="56" t="s">
        <v>898</v>
      </c>
      <c r="H68" s="56"/>
      <c r="I68" s="56"/>
      <c r="J68" s="56"/>
    </row>
    <row r="69" spans="1:10" ht="12">
      <c r="A69" s="58" t="str">
        <f>IF(INDEX(B69:J69,Data!$K$4)="","",INDEX(B69:J69,Data!$K$4))</f>
        <v>MJ</v>
      </c>
      <c r="B69" s="56" t="s">
        <v>199</v>
      </c>
      <c r="C69" s="56" t="s">
        <v>199</v>
      </c>
      <c r="D69" s="170" t="s">
        <v>199</v>
      </c>
      <c r="E69" s="174" t="s">
        <v>199</v>
      </c>
      <c r="F69" s="56" t="s">
        <v>199</v>
      </c>
      <c r="G69" s="56" t="s">
        <v>199</v>
      </c>
      <c r="H69" s="56"/>
      <c r="I69" s="56"/>
      <c r="J69" s="56"/>
    </row>
    <row r="70" spans="1:10" ht="12">
      <c r="A70" s="58" t="str">
        <f>IF(INDEX(B70:J70,Data!$K$4)="","",INDEX(B70:J70,Data!$K$4))</f>
        <v>MJ/Nm3</v>
      </c>
      <c r="B70" s="56" t="s">
        <v>186</v>
      </c>
      <c r="C70" s="56" t="s">
        <v>186</v>
      </c>
      <c r="D70" s="170" t="s">
        <v>186</v>
      </c>
      <c r="E70" s="174" t="s">
        <v>605</v>
      </c>
      <c r="F70" s="56" t="s">
        <v>186</v>
      </c>
      <c r="G70" s="56" t="s">
        <v>186</v>
      </c>
      <c r="H70" s="56"/>
      <c r="I70" s="56"/>
      <c r="J70" s="56"/>
    </row>
    <row r="71" spans="1:10" ht="12">
      <c r="A71" s="58" t="str">
        <f>IF(INDEX(B71:J71,Data!$K$4)="","",INDEX(B71:J71,Data!$K$4))</f>
        <v>kJ/Nm3</v>
      </c>
      <c r="B71" s="56" t="s">
        <v>1007</v>
      </c>
      <c r="C71" s="56" t="s">
        <v>1007</v>
      </c>
      <c r="D71" s="56" t="s">
        <v>1007</v>
      </c>
      <c r="E71" s="56" t="s">
        <v>1007</v>
      </c>
      <c r="F71" s="56" t="s">
        <v>1007</v>
      </c>
      <c r="G71" s="56" t="s">
        <v>1007</v>
      </c>
      <c r="H71" s="56"/>
      <c r="I71" s="56"/>
      <c r="J71" s="56"/>
    </row>
    <row r="72" spans="1:10" ht="12">
      <c r="A72" s="58" t="str">
        <f>IF(INDEX(B72:J72,Data!$K$4)="","",INDEX(B72:J72,Data!$K$4))</f>
        <v>MJ/kg</v>
      </c>
      <c r="B72" s="56" t="s">
        <v>183</v>
      </c>
      <c r="C72" s="56" t="s">
        <v>183</v>
      </c>
      <c r="D72" s="170" t="s">
        <v>183</v>
      </c>
      <c r="E72" s="174" t="s">
        <v>183</v>
      </c>
      <c r="F72" s="56" t="s">
        <v>183</v>
      </c>
      <c r="G72" s="56" t="s">
        <v>183</v>
      </c>
      <c r="H72" s="56"/>
      <c r="I72" s="56"/>
      <c r="J72" s="56"/>
    </row>
    <row r="73" spans="1:10" ht="12">
      <c r="A73" s="58" t="str">
        <f>IF(INDEX(B73:J73,Data!$K$4)="","",INDEX(B73:J73,Data!$K$4))</f>
        <v>kJ/kg</v>
      </c>
      <c r="B73" s="56" t="s">
        <v>1006</v>
      </c>
      <c r="C73" s="56" t="s">
        <v>1006</v>
      </c>
      <c r="D73" s="56" t="s">
        <v>1006</v>
      </c>
      <c r="E73" s="56" t="s">
        <v>1006</v>
      </c>
      <c r="F73" s="56" t="s">
        <v>1006</v>
      </c>
      <c r="G73" s="56" t="s">
        <v>1006</v>
      </c>
      <c r="H73" s="56"/>
      <c r="I73" s="56"/>
      <c r="J73" s="56"/>
    </row>
    <row r="74" spans="1:10" ht="12">
      <c r="A74" s="58" t="str">
        <f>IF(INDEX(B74:J74,Data!$K$4)="","",INDEX(B74:J74,Data!$K$4))</f>
        <v>MJ/kmol</v>
      </c>
      <c r="B74" s="56" t="s">
        <v>214</v>
      </c>
      <c r="C74" s="56" t="s">
        <v>214</v>
      </c>
      <c r="D74" s="170" t="s">
        <v>214</v>
      </c>
      <c r="E74" s="171" t="s">
        <v>214</v>
      </c>
      <c r="F74" s="56" t="s">
        <v>214</v>
      </c>
      <c r="G74" s="56" t="s">
        <v>214</v>
      </c>
      <c r="H74" s="56"/>
      <c r="I74" s="56"/>
      <c r="J74" s="56"/>
    </row>
    <row r="75" spans="1:10" ht="12">
      <c r="A75" s="58" t="str">
        <f>IF(INDEX(B75:J75,Data!$K$4)="","",INDEX(B75:J75,Data!$K$4))</f>
        <v>mol/kg</v>
      </c>
      <c r="B75" s="56" t="s">
        <v>217</v>
      </c>
      <c r="C75" s="56" t="s">
        <v>217</v>
      </c>
      <c r="D75" s="170" t="s">
        <v>217</v>
      </c>
      <c r="E75" s="171" t="s">
        <v>217</v>
      </c>
      <c r="F75" s="56" t="s">
        <v>217</v>
      </c>
      <c r="G75" s="56" t="s">
        <v>217</v>
      </c>
      <c r="H75" s="56"/>
      <c r="I75" s="56"/>
      <c r="J75" s="56"/>
    </row>
    <row r="76" spans="1:10" ht="12">
      <c r="A76" s="58" t="str">
        <f>IF(INDEX(B76:J76,Data!$K$4)="","",INDEX(B76:J76,Data!$K$4))</f>
        <v>kg/GJ</v>
      </c>
      <c r="B76" s="56" t="s">
        <v>184</v>
      </c>
      <c r="C76" s="56" t="s">
        <v>184</v>
      </c>
      <c r="D76" s="170" t="s">
        <v>184</v>
      </c>
      <c r="E76" s="171" t="s">
        <v>184</v>
      </c>
      <c r="F76" s="56" t="s">
        <v>184</v>
      </c>
      <c r="G76" s="56" t="s">
        <v>184</v>
      </c>
      <c r="H76" s="56"/>
      <c r="I76" s="56"/>
      <c r="J76" s="56"/>
    </row>
    <row r="77" spans="1:10" ht="12">
      <c r="A77" s="58" t="str">
        <f>IF(INDEX(B77:J77,Data!$K$4)="","",INDEX(B77:J77,Data!$K$4))</f>
        <v>kg CO2/GJ</v>
      </c>
      <c r="B77" s="56" t="s">
        <v>200</v>
      </c>
      <c r="C77" s="56" t="s">
        <v>200</v>
      </c>
      <c r="D77" s="170" t="s">
        <v>200</v>
      </c>
      <c r="E77" s="171" t="s">
        <v>200</v>
      </c>
      <c r="F77" s="56" t="s">
        <v>200</v>
      </c>
      <c r="G77" s="56" t="s">
        <v>200</v>
      </c>
      <c r="H77" s="56"/>
      <c r="I77" s="56"/>
      <c r="J77" s="56"/>
    </row>
    <row r="78" spans="1:10" ht="12">
      <c r="A78" s="58" t="str">
        <f>IF(INDEX(B78:J78,Data!$K$4)="","",INDEX(B78:J78,Data!$K$4))</f>
        <v>kg/Nm3</v>
      </c>
      <c r="B78" s="56" t="s">
        <v>215</v>
      </c>
      <c r="C78" s="56" t="s">
        <v>215</v>
      </c>
      <c r="D78" s="170" t="s">
        <v>215</v>
      </c>
      <c r="E78" s="171" t="s">
        <v>556</v>
      </c>
      <c r="F78" s="56" t="s">
        <v>215</v>
      </c>
      <c r="G78" s="56" t="s">
        <v>215</v>
      </c>
      <c r="H78" s="56"/>
      <c r="I78" s="56"/>
      <c r="J78" s="56"/>
    </row>
    <row r="79" spans="1:10" ht="12">
      <c r="A79" s="58" t="str">
        <f>IF(INDEX(B79:J79,Data!$K$4)="","",INDEX(B79:J79,Data!$K$4))</f>
        <v>Nm3</v>
      </c>
      <c r="B79" s="56" t="s">
        <v>34</v>
      </c>
      <c r="C79" s="56" t="s">
        <v>34</v>
      </c>
      <c r="D79" s="170" t="s">
        <v>34</v>
      </c>
      <c r="E79" s="171" t="s">
        <v>555</v>
      </c>
      <c r="F79" s="56" t="s">
        <v>34</v>
      </c>
      <c r="G79" s="56" t="s">
        <v>34</v>
      </c>
      <c r="H79" s="56"/>
      <c r="I79" s="56"/>
      <c r="J79" s="56"/>
    </row>
    <row r="80" spans="1:10" ht="12">
      <c r="A80" s="58" t="str">
        <f>IF(INDEX(B80:J80,Data!$K$4)="","",INDEX(B80:J80,Data!$K$4))</f>
        <v>Nm3/Nm3</v>
      </c>
      <c r="B80" s="56" t="s">
        <v>185</v>
      </c>
      <c r="C80" s="56" t="s">
        <v>185</v>
      </c>
      <c r="D80" s="170" t="s">
        <v>185</v>
      </c>
      <c r="E80" s="171" t="s">
        <v>553</v>
      </c>
      <c r="F80" s="56" t="s">
        <v>185</v>
      </c>
      <c r="G80" s="56" t="s">
        <v>185</v>
      </c>
      <c r="H80" s="56"/>
      <c r="I80" s="56"/>
      <c r="J80" s="56"/>
    </row>
    <row r="81" spans="1:10" ht="12">
      <c r="A81" s="58" t="str">
        <f>IF(INDEX(B81:J81,Data!$K$4)="","",INDEX(B81:J81,Data!$K$4))</f>
        <v>Nm3/kg</v>
      </c>
      <c r="B81" s="56" t="s">
        <v>187</v>
      </c>
      <c r="C81" s="56" t="s">
        <v>187</v>
      </c>
      <c r="D81" s="170" t="s">
        <v>187</v>
      </c>
      <c r="E81" s="171" t="s">
        <v>554</v>
      </c>
      <c r="F81" s="56" t="s">
        <v>187</v>
      </c>
      <c r="G81" s="56" t="s">
        <v>187</v>
      </c>
      <c r="H81" s="56"/>
      <c r="I81" s="56"/>
      <c r="J81" s="56"/>
    </row>
    <row r="82" spans="1:10" ht="12">
      <c r="A82" s="58" t="str">
        <f>IF(INDEX(B82:J82,Data!$K$4)="","",INDEX(B82:J82,Data!$K$4))</f>
        <v>Nm3/jaar</v>
      </c>
      <c r="B82" s="56" t="s">
        <v>171</v>
      </c>
      <c r="C82" s="56" t="s">
        <v>254</v>
      </c>
      <c r="D82" s="170" t="s">
        <v>397</v>
      </c>
      <c r="E82" s="171" t="s">
        <v>552</v>
      </c>
      <c r="F82" s="56" t="s">
        <v>713</v>
      </c>
      <c r="G82" s="56" t="s">
        <v>899</v>
      </c>
      <c r="H82" s="56"/>
      <c r="I82" s="56"/>
      <c r="J82" s="56"/>
    </row>
    <row r="83" spans="1:10" ht="12">
      <c r="A83" s="58" t="str">
        <f>IF(INDEX(B83:J83,Data!$K$4)="","",INDEX(B83:J83,Data!$K$4))</f>
        <v>kg/jaar</v>
      </c>
      <c r="B83" s="56" t="s">
        <v>188</v>
      </c>
      <c r="C83" s="56" t="s">
        <v>255</v>
      </c>
      <c r="D83" s="170" t="s">
        <v>403</v>
      </c>
      <c r="E83" s="171" t="s">
        <v>403</v>
      </c>
      <c r="F83" s="56" t="s">
        <v>714</v>
      </c>
      <c r="G83" s="56" t="s">
        <v>900</v>
      </c>
      <c r="H83" s="56"/>
      <c r="I83" s="56"/>
      <c r="J83" s="56"/>
    </row>
    <row r="84" spans="1:10" ht="12">
      <c r="A84" s="58" t="str">
        <f>IF(INDEX(B84:J84,Data!$K$4)="","",INDEX(B84:J84,Data!$K$4))</f>
        <v>Nm3/uur</v>
      </c>
      <c r="B84" s="56" t="s">
        <v>52</v>
      </c>
      <c r="C84" s="56" t="s">
        <v>256</v>
      </c>
      <c r="D84" s="170" t="s">
        <v>398</v>
      </c>
      <c r="E84" s="171" t="s">
        <v>557</v>
      </c>
      <c r="F84" s="56" t="s">
        <v>715</v>
      </c>
      <c r="G84" s="56" t="s">
        <v>901</v>
      </c>
      <c r="H84" s="56"/>
      <c r="I84" s="56"/>
      <c r="J84" s="56"/>
    </row>
    <row r="85" spans="1:10" ht="12">
      <c r="A85" s="58" t="str">
        <f>IF(INDEX(B85:J85,Data!$K$4)="","",INDEX(B85:J85,Data!$K$4))</f>
        <v>kg/uur</v>
      </c>
      <c r="B85" s="56" t="s">
        <v>53</v>
      </c>
      <c r="C85" s="56" t="s">
        <v>257</v>
      </c>
      <c r="D85" s="170" t="s">
        <v>399</v>
      </c>
      <c r="E85" s="171" t="s">
        <v>558</v>
      </c>
      <c r="F85" s="56" t="s">
        <v>716</v>
      </c>
      <c r="G85" s="56" t="s">
        <v>902</v>
      </c>
      <c r="H85" s="56"/>
      <c r="I85" s="56"/>
      <c r="J85" s="56"/>
    </row>
    <row r="86" spans="1:10" ht="12">
      <c r="A86" s="58" t="str">
        <f>IF(INDEX(B86:J86,Data!$K$4)="","",INDEX(B86:J86,Data!$K$4))</f>
        <v>GJ/uur</v>
      </c>
      <c r="B86" s="56" t="s">
        <v>1049</v>
      </c>
      <c r="C86" s="56" t="s">
        <v>1050</v>
      </c>
      <c r="D86" s="170" t="s">
        <v>1051</v>
      </c>
      <c r="E86" s="171" t="s">
        <v>1052</v>
      </c>
      <c r="F86" s="56" t="s">
        <v>1053</v>
      </c>
      <c r="G86" s="56" t="s">
        <v>1054</v>
      </c>
      <c r="H86" s="56"/>
      <c r="I86" s="56"/>
      <c r="J86" s="56"/>
    </row>
    <row r="87" spans="1:10" ht="12">
      <c r="A87" s="58" t="str">
        <f>IF(INDEX(B87:J87,Data!$K$4)="","",INDEX(B87:J87,Data!$K$4))</f>
        <v>TJ/jaar</v>
      </c>
      <c r="B87" s="56" t="s">
        <v>51</v>
      </c>
      <c r="C87" s="56" t="s">
        <v>258</v>
      </c>
      <c r="D87" s="170" t="s">
        <v>400</v>
      </c>
      <c r="E87" s="171" t="s">
        <v>400</v>
      </c>
      <c r="F87" s="56" t="s">
        <v>717</v>
      </c>
      <c r="G87" s="56" t="s">
        <v>903</v>
      </c>
      <c r="H87" s="56"/>
      <c r="I87" s="56"/>
      <c r="J87" s="56"/>
    </row>
    <row r="88" spans="1:10" ht="12">
      <c r="A88" s="58" t="str">
        <f>IF(INDEX(B88:J88,Data!$K$4)="","",INDEX(B88:J88,Data!$K$4))</f>
        <v>ton/uur</v>
      </c>
      <c r="B88" s="56" t="s">
        <v>54</v>
      </c>
      <c r="C88" s="56" t="s">
        <v>251</v>
      </c>
      <c r="D88" s="170" t="s">
        <v>394</v>
      </c>
      <c r="E88" s="171" t="s">
        <v>1064</v>
      </c>
      <c r="F88" s="56" t="s">
        <v>1065</v>
      </c>
      <c r="G88" s="56" t="s">
        <v>905</v>
      </c>
      <c r="H88" s="56"/>
      <c r="I88" s="56"/>
      <c r="J88" s="56"/>
    </row>
    <row r="89" spans="1:10" ht="12">
      <c r="A89" s="58" t="str">
        <f>IF(INDEX(B89:J89,Data!$K$4)="","",INDEX(B89:J89,Data!$K$4))</f>
        <v>ton/jaar</v>
      </c>
      <c r="B89" s="56" t="s">
        <v>134</v>
      </c>
      <c r="C89" s="56" t="s">
        <v>259</v>
      </c>
      <c r="D89" s="170" t="s">
        <v>401</v>
      </c>
      <c r="E89" s="171" t="s">
        <v>559</v>
      </c>
      <c r="F89" s="56" t="s">
        <v>826</v>
      </c>
      <c r="G89" s="56" t="s">
        <v>904</v>
      </c>
      <c r="H89" s="56"/>
      <c r="I89" s="56"/>
      <c r="J89" s="56"/>
    </row>
    <row r="90" spans="1:10" ht="12">
      <c r="A90" s="58" t="str">
        <f>IF(INDEX(B90:J90,Data!$K$4)="","",INDEX(B90:J90,Data!$K$4))</f>
        <v>kton/jaar</v>
      </c>
      <c r="B90" s="56" t="s">
        <v>129</v>
      </c>
      <c r="C90" s="56" t="s">
        <v>358</v>
      </c>
      <c r="D90" s="170" t="s">
        <v>402</v>
      </c>
      <c r="E90" s="171" t="s">
        <v>560</v>
      </c>
      <c r="F90" s="56" t="s">
        <v>718</v>
      </c>
      <c r="G90" s="56" t="s">
        <v>906</v>
      </c>
      <c r="H90" s="56"/>
      <c r="I90" s="56"/>
      <c r="J90" s="56"/>
    </row>
    <row r="91" spans="1:10" ht="12">
      <c r="A91" s="58" t="str">
        <f>IF(INDEX(B91:J91,Data!$K$4)="","",INDEX(B91:J91,Data!$K$4))</f>
        <v>vol%</v>
      </c>
      <c r="B91" s="56" t="s">
        <v>189</v>
      </c>
      <c r="C91" s="56" t="s">
        <v>189</v>
      </c>
      <c r="D91" s="170" t="s">
        <v>189</v>
      </c>
      <c r="E91" s="171" t="s">
        <v>561</v>
      </c>
      <c r="F91" s="56" t="s">
        <v>719</v>
      </c>
      <c r="G91" s="56" t="s">
        <v>189</v>
      </c>
      <c r="H91" s="56"/>
      <c r="I91" s="56"/>
      <c r="J91" s="56"/>
    </row>
    <row r="92" spans="1:10" ht="12">
      <c r="A92" s="58" t="str">
        <f>IF(INDEX(B92:J92,Data!$K$4)="","",INDEX(B92:J92,Data!$K$4))</f>
        <v>Nm3/jaar</v>
      </c>
      <c r="B92" s="56" t="s">
        <v>171</v>
      </c>
      <c r="C92" s="56" t="s">
        <v>254</v>
      </c>
      <c r="D92" s="170" t="s">
        <v>397</v>
      </c>
      <c r="E92" s="171" t="s">
        <v>552</v>
      </c>
      <c r="F92" s="56" t="s">
        <v>713</v>
      </c>
      <c r="G92" s="56" t="s">
        <v>899</v>
      </c>
      <c r="H92" s="56"/>
      <c r="I92" s="56"/>
      <c r="J92" s="56"/>
    </row>
    <row r="93" spans="1:10" ht="12">
      <c r="A93" s="58" t="str">
        <f>IF(INDEX(B93:J93,Data!$K$4)="","",INDEX(B93:J93,Data!$K$4))</f>
        <v>mg/Nm3</v>
      </c>
      <c r="B93" s="56" t="s">
        <v>156</v>
      </c>
      <c r="C93" s="56" t="s">
        <v>156</v>
      </c>
      <c r="D93" s="170" t="s">
        <v>156</v>
      </c>
      <c r="E93" s="171" t="s">
        <v>562</v>
      </c>
      <c r="F93" s="56" t="s">
        <v>156</v>
      </c>
      <c r="G93" s="56" t="s">
        <v>156</v>
      </c>
      <c r="H93" s="56"/>
      <c r="I93" s="56"/>
      <c r="J93" s="56"/>
    </row>
    <row r="94" spans="1:10" ht="12">
      <c r="A94" s="58" t="str">
        <f>IF(INDEX(B94:J94,Data!$K$4)="","",INDEX(B94:J94,Data!$K$4))</f>
        <v>bij</v>
      </c>
      <c r="B94" s="56" t="s">
        <v>203</v>
      </c>
      <c r="C94" s="56" t="s">
        <v>260</v>
      </c>
      <c r="D94" s="170" t="s">
        <v>426</v>
      </c>
      <c r="E94" s="171" t="s">
        <v>563</v>
      </c>
      <c r="F94" s="56" t="s">
        <v>720</v>
      </c>
      <c r="G94" s="56" t="s">
        <v>907</v>
      </c>
      <c r="H94" s="56"/>
      <c r="I94" s="56"/>
      <c r="J94" s="56"/>
    </row>
    <row r="95" spans="1:10" ht="12">
      <c r="A95" s="58" t="str">
        <f>IF(INDEX(B95:J95,Data!$K$4)="","",INDEX(B95:J95,Data!$K$4))</f>
        <v>kg/GJ</v>
      </c>
      <c r="B95" s="56" t="s">
        <v>184</v>
      </c>
      <c r="C95" s="56" t="s">
        <v>184</v>
      </c>
      <c r="D95" s="56" t="s">
        <v>184</v>
      </c>
      <c r="E95" s="56" t="s">
        <v>184</v>
      </c>
      <c r="F95" s="56" t="s">
        <v>184</v>
      </c>
      <c r="G95" s="56" t="s">
        <v>184</v>
      </c>
      <c r="H95" s="56"/>
      <c r="I95" s="56"/>
      <c r="J95" s="56"/>
    </row>
    <row r="96" spans="1:10" ht="12">
      <c r="A96" s="58" t="str">
        <f>IF(INDEX(B96:J96,Data!$K$4)="","",INDEX(B96:J96,Data!$K$4))</f>
        <v>g/GJ</v>
      </c>
      <c r="B96" s="56" t="s">
        <v>177</v>
      </c>
      <c r="C96" s="56" t="s">
        <v>177</v>
      </c>
      <c r="D96" s="170" t="s">
        <v>177</v>
      </c>
      <c r="E96" s="171" t="s">
        <v>177</v>
      </c>
      <c r="F96" s="56" t="s">
        <v>177</v>
      </c>
      <c r="G96" s="56" t="s">
        <v>177</v>
      </c>
      <c r="H96" s="56"/>
      <c r="I96" s="56"/>
      <c r="J96" s="56"/>
    </row>
    <row r="97" spans="1:10" ht="12">
      <c r="A97" s="58" t="str">
        <f>IF(INDEX(B97:J97,Data!$K$4)="","",INDEX(B97:J97,Data!$K$4))</f>
        <v>Geldigheid</v>
      </c>
      <c r="B97" s="175" t="s">
        <v>193</v>
      </c>
      <c r="C97" s="175" t="s">
        <v>261</v>
      </c>
      <c r="D97" s="176" t="s">
        <v>511</v>
      </c>
      <c r="E97" s="177" t="s">
        <v>617</v>
      </c>
      <c r="F97" s="56" t="s">
        <v>721</v>
      </c>
      <c r="G97" s="56" t="s">
        <v>908</v>
      </c>
      <c r="H97" s="56"/>
      <c r="I97" s="56"/>
      <c r="J97" s="56"/>
    </row>
    <row r="98" spans="1:10" ht="12">
      <c r="A98" s="58" t="str">
        <f>IF(INDEX(B98:J98,Data!$K$4)="","",INDEX(B98:J98,Data!$K$4))</f>
        <v>Menu</v>
      </c>
      <c r="B98" s="56" t="s">
        <v>138</v>
      </c>
      <c r="C98" s="56" t="s">
        <v>138</v>
      </c>
      <c r="D98" s="173" t="s">
        <v>138</v>
      </c>
      <c r="E98" s="171" t="s">
        <v>138</v>
      </c>
      <c r="F98" s="56" t="s">
        <v>722</v>
      </c>
      <c r="G98" s="56" t="s">
        <v>138</v>
      </c>
      <c r="H98" s="56"/>
      <c r="I98" s="56"/>
      <c r="J98" s="56"/>
    </row>
    <row r="99" spans="1:10" ht="12">
      <c r="A99" s="58" t="str">
        <f>IF(INDEX(B99:J99,Data!$K$4)="","",INDEX(B99:J99,Data!$K$4))</f>
        <v>DAGEN/WEEK</v>
      </c>
      <c r="B99" s="56" t="s">
        <v>194</v>
      </c>
      <c r="C99" s="56" t="s">
        <v>262</v>
      </c>
      <c r="D99" s="170" t="s">
        <v>405</v>
      </c>
      <c r="E99" s="171" t="s">
        <v>564</v>
      </c>
      <c r="F99" s="56" t="s">
        <v>723</v>
      </c>
      <c r="G99" s="56" t="s">
        <v>909</v>
      </c>
      <c r="H99" s="56"/>
      <c r="I99" s="56"/>
      <c r="J99" s="56"/>
    </row>
    <row r="100" spans="1:10" ht="12">
      <c r="A100" s="58" t="str">
        <f>IF(INDEX(B100:J100,Data!$K$4)="","",INDEX(B100:J100,Data!$K$4))</f>
        <v>UUR/DAG</v>
      </c>
      <c r="B100" s="56" t="s">
        <v>195</v>
      </c>
      <c r="C100" s="56" t="s">
        <v>263</v>
      </c>
      <c r="D100" s="170" t="s">
        <v>406</v>
      </c>
      <c r="E100" s="171" t="s">
        <v>565</v>
      </c>
      <c r="F100" s="56" t="s">
        <v>724</v>
      </c>
      <c r="G100" s="56" t="s">
        <v>910</v>
      </c>
      <c r="H100" s="56"/>
      <c r="I100" s="56"/>
      <c r="J100" s="56"/>
    </row>
    <row r="101" spans="1:10" ht="12">
      <c r="A101" s="58" t="str">
        <f>IF(INDEX(B101:J101,Data!$K$4)="","",INDEX(B101:J101,Data!$K$4))</f>
        <v>STAND-BY</v>
      </c>
      <c r="B101" s="175" t="s">
        <v>176</v>
      </c>
      <c r="C101" s="175" t="s">
        <v>176</v>
      </c>
      <c r="D101" s="170" t="s">
        <v>407</v>
      </c>
      <c r="E101" s="177" t="s">
        <v>566</v>
      </c>
      <c r="F101" s="56" t="s">
        <v>725</v>
      </c>
      <c r="G101" s="56" t="s">
        <v>176</v>
      </c>
      <c r="H101" s="56"/>
      <c r="I101" s="56"/>
      <c r="J101" s="56"/>
    </row>
    <row r="102" spans="1:10" ht="12">
      <c r="A102" s="58" t="str">
        <f>IF(INDEX(B102:J102,Data!$K$4)="","",INDEX(B102:J102,Data!$K$4))</f>
        <v>Installatie type</v>
      </c>
      <c r="B102" s="175" t="s">
        <v>119</v>
      </c>
      <c r="C102" s="175" t="s">
        <v>264</v>
      </c>
      <c r="D102" s="170" t="s">
        <v>408</v>
      </c>
      <c r="E102" s="177" t="s">
        <v>567</v>
      </c>
      <c r="F102" s="56" t="s">
        <v>726</v>
      </c>
      <c r="G102" s="56" t="s">
        <v>859</v>
      </c>
      <c r="H102" s="56"/>
      <c r="I102" s="56"/>
      <c r="J102" s="56"/>
    </row>
    <row r="103" spans="1:10" ht="12">
      <c r="A103" s="58" t="str">
        <f>IF(INDEX(B103:J103,Data!$K$4)="","",INDEX(B103:J103,Data!$K$4))</f>
        <v>KETEL</v>
      </c>
      <c r="B103" s="175" t="s">
        <v>160</v>
      </c>
      <c r="C103" s="175" t="s">
        <v>265</v>
      </c>
      <c r="D103" s="170" t="s">
        <v>409</v>
      </c>
      <c r="E103" s="177" t="s">
        <v>568</v>
      </c>
      <c r="F103" s="56" t="s">
        <v>727</v>
      </c>
      <c r="G103" s="56" t="s">
        <v>911</v>
      </c>
      <c r="H103" s="56"/>
      <c r="I103" s="56"/>
      <c r="J103" s="56"/>
    </row>
    <row r="104" spans="1:10" ht="12">
      <c r="A104" s="58" t="str">
        <f>IF(INDEX(B104:J104,Data!$K$4)="","",INDEX(B104:J104,Data!$K$4))</f>
        <v>KETEL MET STOOMTURBINE</v>
      </c>
      <c r="B104" s="175" t="s">
        <v>161</v>
      </c>
      <c r="C104" s="175" t="s">
        <v>266</v>
      </c>
      <c r="D104" s="170" t="s">
        <v>410</v>
      </c>
      <c r="E104" s="177" t="s">
        <v>569</v>
      </c>
      <c r="F104" s="56" t="s">
        <v>728</v>
      </c>
      <c r="G104" s="56" t="s">
        <v>912</v>
      </c>
      <c r="H104" s="56"/>
      <c r="I104" s="56"/>
      <c r="J104" s="56"/>
    </row>
    <row r="105" spans="1:10" ht="12">
      <c r="A105" s="58" t="str">
        <f>IF(INDEX(B105:J105,Data!$K$4)="","",INDEX(B105:J105,Data!$K$4))</f>
        <v>PROCESFORNUIS</v>
      </c>
      <c r="B105" s="175" t="s">
        <v>162</v>
      </c>
      <c r="C105" s="175" t="s">
        <v>267</v>
      </c>
      <c r="D105" s="170" t="s">
        <v>411</v>
      </c>
      <c r="E105" s="177" t="s">
        <v>570</v>
      </c>
      <c r="F105" s="56" t="s">
        <v>729</v>
      </c>
      <c r="G105" s="56" t="s">
        <v>913</v>
      </c>
      <c r="H105" s="56"/>
      <c r="I105" s="56"/>
      <c r="J105" s="56"/>
    </row>
    <row r="106" spans="1:10" ht="12">
      <c r="A106" s="58" t="str">
        <f>IF(INDEX(B106:J106,Data!$K$4)="","",INDEX(B106:J106,Data!$K$4))</f>
        <v>GASTURBINE</v>
      </c>
      <c r="B106" s="175" t="s">
        <v>163</v>
      </c>
      <c r="C106" s="175" t="s">
        <v>268</v>
      </c>
      <c r="D106" s="170" t="s">
        <v>412</v>
      </c>
      <c r="E106" s="177" t="s">
        <v>571</v>
      </c>
      <c r="F106" s="56" t="s">
        <v>730</v>
      </c>
      <c r="G106" s="56" t="s">
        <v>914</v>
      </c>
      <c r="H106" s="56"/>
      <c r="I106" s="56"/>
      <c r="J106" s="56"/>
    </row>
    <row r="107" spans="1:10" ht="33.75">
      <c r="A107" s="58" t="str">
        <f>IF(INDEX(B107:J107,Data!$K$4)="","",INDEX(B107:J107,Data!$K$4))</f>
        <v>WKK GASTURBINE</v>
      </c>
      <c r="B107" s="175" t="s">
        <v>164</v>
      </c>
      <c r="C107" s="175" t="s">
        <v>269</v>
      </c>
      <c r="D107" s="170" t="s">
        <v>413</v>
      </c>
      <c r="E107" s="177" t="s">
        <v>572</v>
      </c>
      <c r="F107" s="56" t="s">
        <v>833</v>
      </c>
      <c r="G107" s="56" t="s">
        <v>916</v>
      </c>
      <c r="H107" s="56"/>
      <c r="I107" s="56"/>
      <c r="J107" s="56"/>
    </row>
    <row r="108" spans="1:10" ht="12">
      <c r="A108" s="58" t="str">
        <f>IF(INDEX(B108:J108,Data!$K$4)="","",INDEX(B108:J108,Data!$K$4))</f>
        <v>ZUIGERMOTOR</v>
      </c>
      <c r="B108" s="175" t="s">
        <v>165</v>
      </c>
      <c r="C108" s="175" t="s">
        <v>270</v>
      </c>
      <c r="D108" s="170" t="s">
        <v>414</v>
      </c>
      <c r="E108" s="177" t="s">
        <v>573</v>
      </c>
      <c r="F108" s="56" t="s">
        <v>731</v>
      </c>
      <c r="G108" s="56" t="s">
        <v>915</v>
      </c>
      <c r="H108" s="56"/>
      <c r="I108" s="56"/>
      <c r="J108" s="56"/>
    </row>
    <row r="109" spans="1:10" ht="22.5">
      <c r="A109" s="58" t="str">
        <f>IF(INDEX(B109:J109,Data!$K$4)="","",INDEX(B109:J109,Data!$K$4))</f>
        <v>WKK ZUIGERMOTOR</v>
      </c>
      <c r="B109" s="175" t="s">
        <v>166</v>
      </c>
      <c r="C109" s="175" t="s">
        <v>271</v>
      </c>
      <c r="D109" s="170" t="s">
        <v>415</v>
      </c>
      <c r="E109" s="177" t="s">
        <v>574</v>
      </c>
      <c r="F109" s="56" t="s">
        <v>834</v>
      </c>
      <c r="G109" s="56" t="s">
        <v>917</v>
      </c>
      <c r="H109" s="56"/>
      <c r="I109" s="56"/>
      <c r="J109" s="56"/>
    </row>
    <row r="110" spans="1:10" ht="12">
      <c r="A110" s="58" t="str">
        <f>IF(INDEX(B110:J110,Data!$K$4)="","",INDEX(B110:J110,Data!$K$4))</f>
        <v>ANDERS</v>
      </c>
      <c r="B110" s="175" t="s">
        <v>167</v>
      </c>
      <c r="C110" s="175" t="s">
        <v>272</v>
      </c>
      <c r="D110" s="170" t="s">
        <v>416</v>
      </c>
      <c r="E110" s="177" t="s">
        <v>575</v>
      </c>
      <c r="F110" s="56" t="s">
        <v>732</v>
      </c>
      <c r="G110" s="56" t="s">
        <v>918</v>
      </c>
      <c r="H110" s="56"/>
      <c r="I110" s="56"/>
      <c r="J110" s="56"/>
    </row>
    <row r="111" spans="1:10" ht="12">
      <c r="A111" s="58" t="str">
        <f>IF(INDEX(B111:J111,Data!$K$4)="","",INDEX(B111:J111,Data!$K$4))</f>
        <v>Min rendement</v>
      </c>
      <c r="B111" s="175" t="s">
        <v>120</v>
      </c>
      <c r="C111" s="175" t="s">
        <v>273</v>
      </c>
      <c r="D111" s="173" t="s">
        <v>512</v>
      </c>
      <c r="E111" s="177" t="s">
        <v>618</v>
      </c>
      <c r="F111" s="56" t="s">
        <v>733</v>
      </c>
      <c r="G111" s="56" t="s">
        <v>920</v>
      </c>
      <c r="H111" s="56"/>
      <c r="I111" s="56"/>
      <c r="J111" s="56"/>
    </row>
    <row r="112" spans="1:10" ht="12">
      <c r="A112" s="58" t="str">
        <f>IF(INDEX(B112:J112,Data!$K$4)="","",INDEX(B112:J112,Data!$K$4))</f>
        <v>Max rendement</v>
      </c>
      <c r="B112" s="175" t="s">
        <v>121</v>
      </c>
      <c r="C112" s="175" t="s">
        <v>274</v>
      </c>
      <c r="D112" s="173" t="s">
        <v>513</v>
      </c>
      <c r="E112" s="177" t="s">
        <v>619</v>
      </c>
      <c r="F112" s="56" t="s">
        <v>734</v>
      </c>
      <c r="G112" s="56" t="s">
        <v>919</v>
      </c>
      <c r="H112" s="56"/>
      <c r="I112" s="56"/>
      <c r="J112" s="56"/>
    </row>
    <row r="113" spans="1:10" ht="12">
      <c r="A113" s="58" t="str">
        <f>IF(INDEX(B113:J113,Data!$K$4)="","",INDEX(B113:J113,Data!$K$4))</f>
        <v>rij</v>
      </c>
      <c r="B113" s="175" t="s">
        <v>122</v>
      </c>
      <c r="C113" s="175" t="s">
        <v>275</v>
      </c>
      <c r="D113" s="176" t="s">
        <v>417</v>
      </c>
      <c r="E113" s="177" t="s">
        <v>576</v>
      </c>
      <c r="F113" s="56" t="s">
        <v>735</v>
      </c>
      <c r="G113" s="56" t="s">
        <v>921</v>
      </c>
      <c r="H113" s="56"/>
      <c r="I113" s="56"/>
      <c r="J113" s="56"/>
    </row>
    <row r="114" spans="1:10" ht="12">
      <c r="A114" s="58" t="str">
        <f>IF(INDEX(B114:J114,Data!$K$4)="","",INDEX(B114:J114,Data!$K$4))</f>
        <v>kolom</v>
      </c>
      <c r="B114" s="175" t="s">
        <v>123</v>
      </c>
      <c r="C114" s="175" t="s">
        <v>276</v>
      </c>
      <c r="D114" s="176" t="s">
        <v>496</v>
      </c>
      <c r="E114" s="177" t="s">
        <v>577</v>
      </c>
      <c r="F114" s="56" t="s">
        <v>736</v>
      </c>
      <c r="G114" s="56" t="s">
        <v>922</v>
      </c>
      <c r="H114" s="56"/>
      <c r="I114" s="56"/>
      <c r="J114" s="56"/>
    </row>
    <row r="115" spans="1:10" ht="12">
      <c r="A115" s="58" t="str">
        <f>IF(INDEX(B115:J115,Data!$K$4)="","",INDEX(B115:J115,Data!$K$4))</f>
        <v>brandstoftype</v>
      </c>
      <c r="B115" s="175" t="s">
        <v>124</v>
      </c>
      <c r="C115" s="175" t="s">
        <v>277</v>
      </c>
      <c r="D115" s="173" t="s">
        <v>514</v>
      </c>
      <c r="E115" s="177" t="s">
        <v>620</v>
      </c>
      <c r="F115" s="56" t="s">
        <v>737</v>
      </c>
      <c r="G115" s="56" t="s">
        <v>923</v>
      </c>
      <c r="H115" s="56"/>
      <c r="I115" s="56"/>
      <c r="J115" s="56"/>
    </row>
    <row r="116" spans="1:10" ht="12">
      <c r="A116" s="58" t="str">
        <f>IF(INDEX(B116:J116,Data!$K$4)="","",INDEX(B116:J116,Data!$K$4))</f>
        <v>GEEN</v>
      </c>
      <c r="B116" s="175" t="s">
        <v>174</v>
      </c>
      <c r="C116" s="175" t="s">
        <v>278</v>
      </c>
      <c r="D116" s="170" t="s">
        <v>418</v>
      </c>
      <c r="E116" s="177" t="s">
        <v>578</v>
      </c>
      <c r="F116" s="56" t="s">
        <v>738</v>
      </c>
      <c r="G116" s="56" t="s">
        <v>924</v>
      </c>
      <c r="H116" s="56"/>
      <c r="I116" s="56"/>
      <c r="J116" s="56"/>
    </row>
    <row r="117" spans="1:10" ht="12">
      <c r="A117" s="58" t="str">
        <f>IF(INDEX(B117:J117,Data!$K$4)="","",INDEX(B117:J117,Data!$K$4))</f>
        <v>% fossiel</v>
      </c>
      <c r="B117" s="175" t="s">
        <v>125</v>
      </c>
      <c r="C117" s="175" t="s">
        <v>279</v>
      </c>
      <c r="D117" s="173" t="s">
        <v>515</v>
      </c>
      <c r="E117" s="177" t="s">
        <v>579</v>
      </c>
      <c r="F117" s="56" t="s">
        <v>739</v>
      </c>
      <c r="G117" s="56" t="s">
        <v>925</v>
      </c>
      <c r="H117" s="56"/>
      <c r="I117" s="56"/>
      <c r="J117" s="56"/>
    </row>
    <row r="118" spans="1:10" ht="12">
      <c r="A118" s="58" t="str">
        <f>IF(INDEX(B118:J118,Data!$K$4)="","",INDEX(B118:J118,Data!$K$4))</f>
        <v>Onderste verbrandingswaarde</v>
      </c>
      <c r="B118" s="175" t="s">
        <v>37</v>
      </c>
      <c r="C118" s="56" t="s">
        <v>229</v>
      </c>
      <c r="D118" s="170" t="s">
        <v>370</v>
      </c>
      <c r="E118" s="177" t="s">
        <v>580</v>
      </c>
      <c r="F118" s="56" t="s">
        <v>688</v>
      </c>
      <c r="G118" s="56" t="s">
        <v>872</v>
      </c>
      <c r="H118" s="56"/>
      <c r="I118" s="56"/>
      <c r="J118" s="56"/>
    </row>
    <row r="119" spans="1:10" ht="12">
      <c r="A119" s="58" t="str">
        <f>IF(INDEX(B119:J119,Data!$K$4)="","",INDEX(B119:J119,Data!$K$4))</f>
        <v>Berekeningsmethode</v>
      </c>
      <c r="B119" s="175" t="s">
        <v>46</v>
      </c>
      <c r="C119" s="56" t="s">
        <v>228</v>
      </c>
      <c r="D119" s="170" t="s">
        <v>369</v>
      </c>
      <c r="E119" s="177" t="s">
        <v>532</v>
      </c>
      <c r="F119" s="56" t="s">
        <v>687</v>
      </c>
      <c r="G119" s="56" t="s">
        <v>871</v>
      </c>
      <c r="H119" s="56"/>
      <c r="I119" s="56"/>
      <c r="J119" s="56"/>
    </row>
    <row r="120" spans="1:10" ht="24">
      <c r="A120" s="58" t="str">
        <f>IF(INDEX(B120:J120,Data!$K$4)="","",INDEX(B120:J120,Data!$K$4))</f>
        <v>Stoichiometrisch rookgasvolume Rgv</v>
      </c>
      <c r="B120" s="175" t="s">
        <v>927</v>
      </c>
      <c r="C120" s="175" t="s">
        <v>280</v>
      </c>
      <c r="D120" s="170" t="s">
        <v>375</v>
      </c>
      <c r="E120" s="177" t="s">
        <v>604</v>
      </c>
      <c r="F120" s="56" t="s">
        <v>740</v>
      </c>
      <c r="G120" s="56" t="s">
        <v>926</v>
      </c>
      <c r="H120" s="56"/>
      <c r="I120" s="56"/>
      <c r="J120" s="56"/>
    </row>
    <row r="121" spans="1:10" ht="12">
      <c r="A121" s="58" t="str">
        <f>IF(INDEX(B121:J121,Data!$K$4)="","",INDEX(B121:J121,Data!$K$4))</f>
        <v>onzekerheid</v>
      </c>
      <c r="B121" s="175" t="s">
        <v>126</v>
      </c>
      <c r="C121" s="175" t="s">
        <v>281</v>
      </c>
      <c r="D121" s="173" t="s">
        <v>516</v>
      </c>
      <c r="E121" s="177" t="s">
        <v>581</v>
      </c>
      <c r="F121" s="56" t="s">
        <v>741</v>
      </c>
      <c r="G121" s="56" t="s">
        <v>928</v>
      </c>
      <c r="H121" s="56"/>
      <c r="I121" s="56"/>
      <c r="J121" s="56"/>
    </row>
    <row r="122" spans="1:10" ht="12">
      <c r="A122" s="58" t="str">
        <f>IF(INDEX(B122:J122,Data!$K$4)="","",INDEX(B122:J122,Data!$K$4))</f>
        <v>eenheid</v>
      </c>
      <c r="B122" s="175" t="s">
        <v>127</v>
      </c>
      <c r="C122" s="175" t="s">
        <v>282</v>
      </c>
      <c r="D122" s="173" t="s">
        <v>517</v>
      </c>
      <c r="E122" s="177" t="s">
        <v>582</v>
      </c>
      <c r="F122" s="56" t="s">
        <v>742</v>
      </c>
      <c r="G122" s="56" t="s">
        <v>929</v>
      </c>
      <c r="H122" s="56"/>
      <c r="I122" s="56"/>
      <c r="J122" s="56"/>
    </row>
    <row r="123" spans="1:10" ht="12">
      <c r="A123" s="58" t="str">
        <f>IF(INDEX(B123:J123,Data!$K$4)="","",INDEX(B123:J123,Data!$K$4))</f>
        <v>VERBRANDING</v>
      </c>
      <c r="B123" s="175" t="s">
        <v>158</v>
      </c>
      <c r="C123" s="175" t="s">
        <v>283</v>
      </c>
      <c r="D123" s="170" t="s">
        <v>419</v>
      </c>
      <c r="E123" s="177" t="s">
        <v>583</v>
      </c>
      <c r="F123" s="56" t="s">
        <v>743</v>
      </c>
      <c r="G123" s="56" t="s">
        <v>930</v>
      </c>
      <c r="H123" s="56"/>
      <c r="I123" s="56"/>
      <c r="J123" s="56"/>
    </row>
    <row r="124" spans="1:10" ht="12">
      <c r="A124" s="58" t="str">
        <f>IF(INDEX(B124:J124,Data!$K$4)="","",INDEX(B124:J124,Data!$K$4))</f>
        <v>LEVERING</v>
      </c>
      <c r="B124" s="175" t="s">
        <v>159</v>
      </c>
      <c r="C124" s="175" t="s">
        <v>284</v>
      </c>
      <c r="D124" s="170" t="s">
        <v>420</v>
      </c>
      <c r="E124" s="177" t="s">
        <v>584</v>
      </c>
      <c r="F124" s="56" t="s">
        <v>744</v>
      </c>
      <c r="G124" s="56" t="s">
        <v>931</v>
      </c>
      <c r="H124" s="56"/>
      <c r="I124" s="56"/>
      <c r="J124" s="56"/>
    </row>
    <row r="125" spans="1:10" ht="12">
      <c r="A125" s="58" t="str">
        <f>IF(INDEX(B125:J125,Data!$K$4)="","",INDEX(B125:J125,Data!$K$4))</f>
        <v>HF</v>
      </c>
      <c r="B125" s="175" t="s">
        <v>840</v>
      </c>
      <c r="C125" s="175" t="s">
        <v>840</v>
      </c>
      <c r="D125" s="175" t="s">
        <v>840</v>
      </c>
      <c r="E125" s="175" t="s">
        <v>840</v>
      </c>
      <c r="F125" s="175" t="s">
        <v>840</v>
      </c>
      <c r="G125" s="175" t="s">
        <v>840</v>
      </c>
      <c r="H125" s="56"/>
      <c r="I125" s="56"/>
      <c r="J125" s="56"/>
    </row>
    <row r="126" spans="1:10" ht="12">
      <c r="A126" s="58" t="str">
        <f>IF(INDEX(B126:J126,Data!$K$4)="","",INDEX(B126:J126,Data!$K$4))</f>
        <v>HCl</v>
      </c>
      <c r="B126" s="175" t="s">
        <v>135</v>
      </c>
      <c r="C126" s="175" t="s">
        <v>135</v>
      </c>
      <c r="D126" s="175" t="s">
        <v>135</v>
      </c>
      <c r="E126" s="175" t="s">
        <v>135</v>
      </c>
      <c r="F126" s="175" t="s">
        <v>135</v>
      </c>
      <c r="G126" s="175" t="s">
        <v>135</v>
      </c>
      <c r="H126" s="56"/>
      <c r="I126" s="56"/>
      <c r="J126" s="56"/>
    </row>
    <row r="127" spans="1:10" ht="12">
      <c r="A127" s="58" t="str">
        <f>IF(INDEX(B127:J127,Data!$K$4)="","",INDEX(B127:J127,Data!$K$4))</f>
        <v>CxHy</v>
      </c>
      <c r="B127" s="175" t="s">
        <v>136</v>
      </c>
      <c r="C127" s="175" t="s">
        <v>136</v>
      </c>
      <c r="D127" s="175" t="s">
        <v>136</v>
      </c>
      <c r="E127" s="175" t="s">
        <v>136</v>
      </c>
      <c r="F127" s="175" t="s">
        <v>136</v>
      </c>
      <c r="G127" s="175" t="s">
        <v>136</v>
      </c>
      <c r="H127" s="56"/>
      <c r="I127" s="56"/>
      <c r="J127" s="56"/>
    </row>
    <row r="128" spans="1:10" ht="12">
      <c r="A128" s="58" t="str">
        <f>IF(INDEX(B128:J128,Data!$K$4)="","",INDEX(B128:J128,Data!$K$4))</f>
        <v>CO</v>
      </c>
      <c r="B128" s="175" t="s">
        <v>137</v>
      </c>
      <c r="C128" s="175" t="s">
        <v>137</v>
      </c>
      <c r="D128" s="175" t="s">
        <v>137</v>
      </c>
      <c r="E128" s="175" t="s">
        <v>137</v>
      </c>
      <c r="F128" s="175" t="s">
        <v>137</v>
      </c>
      <c r="G128" s="175" t="s">
        <v>137</v>
      </c>
      <c r="H128" s="56"/>
      <c r="I128" s="56"/>
      <c r="J128" s="56"/>
    </row>
    <row r="129" spans="1:10" ht="12">
      <c r="A129" s="58" t="str">
        <f>IF(INDEX(B129:J129,Data!$K$4)="","",INDEX(B129:J129,Data!$K$4))</f>
        <v>STOF</v>
      </c>
      <c r="B129" s="175" t="s">
        <v>157</v>
      </c>
      <c r="C129" s="175" t="s">
        <v>285</v>
      </c>
      <c r="D129" s="170" t="s">
        <v>518</v>
      </c>
      <c r="E129" s="177" t="s">
        <v>585</v>
      </c>
      <c r="F129" s="56" t="s">
        <v>745</v>
      </c>
      <c r="G129" s="56" t="s">
        <v>932</v>
      </c>
      <c r="H129" s="56"/>
      <c r="I129" s="56"/>
      <c r="J129" s="56"/>
    </row>
    <row r="130" spans="1:10" ht="12">
      <c r="A130" s="58" t="str">
        <f>IF(INDEX(B130:J130,Data!$K$4)="","",INDEX(B130:J130,Data!$K$4))</f>
        <v>Score</v>
      </c>
      <c r="B130" s="56" t="s">
        <v>33</v>
      </c>
      <c r="C130" s="56" t="s">
        <v>33</v>
      </c>
      <c r="D130" s="173" t="s">
        <v>519</v>
      </c>
      <c r="E130" s="171" t="s">
        <v>621</v>
      </c>
      <c r="F130" s="56" t="s">
        <v>746</v>
      </c>
      <c r="G130" s="56" t="s">
        <v>933</v>
      </c>
      <c r="H130" s="56"/>
      <c r="I130" s="56"/>
      <c r="J130" s="56"/>
    </row>
    <row r="131" spans="1:10" ht="12">
      <c r="A131" s="58" t="str">
        <f>IF(INDEX(B131:J131,Data!$K$4)="","",INDEX(B131:J131,Data!$K$4))</f>
        <v>Stoomproductie</v>
      </c>
      <c r="B131" s="176" t="s">
        <v>128</v>
      </c>
      <c r="C131" s="176" t="s">
        <v>286</v>
      </c>
      <c r="D131" s="170" t="s">
        <v>421</v>
      </c>
      <c r="E131" s="177" t="s">
        <v>622</v>
      </c>
      <c r="F131" s="56" t="s">
        <v>747</v>
      </c>
      <c r="G131" s="56" t="s">
        <v>935</v>
      </c>
      <c r="H131" s="56"/>
      <c r="I131" s="56"/>
      <c r="J131" s="56"/>
    </row>
    <row r="132" spans="1:10" ht="12">
      <c r="A132" s="58" t="str">
        <f>IF(INDEX(B132:J132,Data!$K$4)="","",INDEX(B132:J132,Data!$K$4))</f>
        <v>niet relevant/onbekend</v>
      </c>
      <c r="B132" s="170" t="s">
        <v>198</v>
      </c>
      <c r="C132" s="170" t="s">
        <v>287</v>
      </c>
      <c r="D132" s="170" t="s">
        <v>422</v>
      </c>
      <c r="E132" s="171" t="s">
        <v>586</v>
      </c>
      <c r="F132" s="56" t="s">
        <v>748</v>
      </c>
      <c r="G132" s="56" t="s">
        <v>936</v>
      </c>
      <c r="H132" s="56"/>
      <c r="I132" s="56"/>
      <c r="J132" s="56"/>
    </row>
    <row r="133" spans="1:10" ht="12">
      <c r="A133" s="58" t="str">
        <f>IF(INDEX(B133:J133,Data!$K$4)="","",INDEX(B133:J133,Data!$K$4))</f>
        <v>Keuze</v>
      </c>
      <c r="B133" s="176" t="s">
        <v>118</v>
      </c>
      <c r="C133" s="176" t="s">
        <v>288</v>
      </c>
      <c r="D133" s="170" t="s">
        <v>423</v>
      </c>
      <c r="E133" s="177" t="s">
        <v>623</v>
      </c>
      <c r="F133" s="56" t="s">
        <v>749</v>
      </c>
      <c r="G133" s="56" t="s">
        <v>937</v>
      </c>
      <c r="H133" s="56"/>
      <c r="I133" s="56"/>
      <c r="J133" s="56"/>
    </row>
    <row r="134" spans="1:10" ht="12">
      <c r="A134" s="58" t="str">
        <f>IF(INDEX(B134:J134,Data!$K$4)="","",INDEX(B134:J134,Data!$K$4))</f>
        <v>Bedrijfstijd</v>
      </c>
      <c r="B134" s="176" t="s">
        <v>204</v>
      </c>
      <c r="C134" s="176" t="s">
        <v>289</v>
      </c>
      <c r="D134" s="170" t="s">
        <v>424</v>
      </c>
      <c r="E134" s="177" t="s">
        <v>624</v>
      </c>
      <c r="F134" s="56" t="s">
        <v>750</v>
      </c>
      <c r="G134" s="56" t="s">
        <v>938</v>
      </c>
      <c r="H134" s="56"/>
      <c r="I134" s="56"/>
      <c r="J134" s="56"/>
    </row>
    <row r="135" spans="1:10" ht="12">
      <c r="A135" s="58" t="str">
        <f>IF(INDEX(B135:J135,Data!$K$4)="","",INDEX(B135:J135,Data!$K$4))</f>
        <v>Gerapporteerde</v>
      </c>
      <c r="B135" s="176" t="s">
        <v>117</v>
      </c>
      <c r="C135" s="176" t="s">
        <v>290</v>
      </c>
      <c r="D135" s="170" t="s">
        <v>425</v>
      </c>
      <c r="E135" s="177" t="s">
        <v>625</v>
      </c>
      <c r="F135" s="56" t="s">
        <v>751</v>
      </c>
      <c r="G135" s="56" t="s">
        <v>939</v>
      </c>
      <c r="H135" s="56"/>
      <c r="I135" s="56"/>
      <c r="J135" s="56"/>
    </row>
    <row r="136" spans="1:10" ht="12">
      <c r="A136" s="58" t="str">
        <f>IF(INDEX(B136:J136,Data!$K$4)="","",INDEX(B136:J136,Data!$K$4))</f>
        <v>Gemiddelde belasting</v>
      </c>
      <c r="B136" s="176" t="s">
        <v>55</v>
      </c>
      <c r="C136" s="176" t="s">
        <v>240</v>
      </c>
      <c r="D136" s="170" t="s">
        <v>381</v>
      </c>
      <c r="E136" s="177" t="s">
        <v>615</v>
      </c>
      <c r="F136" s="56" t="s">
        <v>698</v>
      </c>
      <c r="G136" s="56" t="s">
        <v>882</v>
      </c>
      <c r="H136" s="56"/>
      <c r="I136" s="56"/>
      <c r="J136" s="56"/>
    </row>
    <row r="137" spans="1:10" ht="12">
      <c r="A137" s="58" t="str">
        <f>IF(INDEX(B137:J137,Data!$K$4)="","",INDEX(B137:J137,Data!$K$4))</f>
        <v>Emissie-eis</v>
      </c>
      <c r="B137" s="176" t="s">
        <v>202</v>
      </c>
      <c r="C137" s="176" t="s">
        <v>291</v>
      </c>
      <c r="D137" s="173" t="s">
        <v>520</v>
      </c>
      <c r="E137" s="177" t="s">
        <v>587</v>
      </c>
      <c r="F137" s="56" t="s">
        <v>752</v>
      </c>
      <c r="G137" s="56" t="s">
        <v>940</v>
      </c>
      <c r="H137" s="56"/>
      <c r="I137" s="56"/>
      <c r="J137" s="56"/>
    </row>
    <row r="138" spans="1:10" ht="12">
      <c r="A138" s="58" t="str">
        <f>IF(INDEX(B138:J138,Data!$K$4)="","",INDEX(B138:J138,Data!$K$4))</f>
        <v>Emissie-eis</v>
      </c>
      <c r="B138" s="176" t="s">
        <v>206</v>
      </c>
      <c r="C138" s="176" t="s">
        <v>291</v>
      </c>
      <c r="D138" s="170" t="s">
        <v>428</v>
      </c>
      <c r="E138" s="177" t="s">
        <v>626</v>
      </c>
      <c r="F138" s="56" t="s">
        <v>835</v>
      </c>
      <c r="G138" s="56" t="s">
        <v>940</v>
      </c>
      <c r="H138" s="56"/>
      <c r="I138" s="56"/>
      <c r="J138" s="56"/>
    </row>
    <row r="139" spans="1:10" ht="12">
      <c r="A139" s="58" t="str">
        <f>IF(INDEX(B139:J139,Data!$K$4)="","",INDEX(B139:J139,Data!$K$4))</f>
        <v>concentratie</v>
      </c>
      <c r="B139" s="176" t="s">
        <v>207</v>
      </c>
      <c r="C139" s="176" t="s">
        <v>292</v>
      </c>
      <c r="D139" s="170" t="s">
        <v>427</v>
      </c>
      <c r="E139" s="177" t="s">
        <v>588</v>
      </c>
      <c r="F139" s="56" t="s">
        <v>753</v>
      </c>
      <c r="G139" s="56" t="s">
        <v>941</v>
      </c>
      <c r="H139" s="56"/>
      <c r="I139" s="56"/>
      <c r="J139" s="56"/>
    </row>
    <row r="140" spans="1:10" ht="12">
      <c r="A140" s="58" t="str">
        <f>IF(INDEX(B140:J140,Data!$K$4)="","",INDEX(B140:J140,Data!$K$4))</f>
        <v>relatieve</v>
      </c>
      <c r="B140" s="176" t="s">
        <v>205</v>
      </c>
      <c r="C140" s="176" t="s">
        <v>293</v>
      </c>
      <c r="D140" s="176" t="s">
        <v>477</v>
      </c>
      <c r="E140" s="177" t="s">
        <v>589</v>
      </c>
      <c r="F140" s="56" t="s">
        <v>754</v>
      </c>
      <c r="G140" s="56" t="s">
        <v>942</v>
      </c>
      <c r="H140" s="56"/>
      <c r="I140" s="56"/>
      <c r="J140" s="56"/>
    </row>
    <row r="141" spans="1:10" ht="12">
      <c r="A141" s="58" t="str">
        <f>IF(INDEX(B141:J141,Data!$K$4)="","",INDEX(B141:J141,Data!$K$4))</f>
        <v> in % van de theoretische waarde</v>
      </c>
      <c r="B141" s="170" t="s">
        <v>208</v>
      </c>
      <c r="C141" s="170" t="s">
        <v>294</v>
      </c>
      <c r="D141" s="170" t="s">
        <v>429</v>
      </c>
      <c r="E141" s="171" t="s">
        <v>590</v>
      </c>
      <c r="F141" s="56" t="s">
        <v>755</v>
      </c>
      <c r="G141" s="56" t="s">
        <v>943</v>
      </c>
      <c r="H141" s="56"/>
      <c r="I141" s="56"/>
      <c r="J141" s="56"/>
    </row>
    <row r="142" spans="1:10" ht="12">
      <c r="A142" s="58" t="str">
        <f>IF(INDEX(B142:J142,Data!$K$4)="","",INDEX(B142:J142,Data!$K$4))</f>
        <v>Omschrijving</v>
      </c>
      <c r="B142" s="170" t="s">
        <v>56</v>
      </c>
      <c r="C142" s="170" t="s">
        <v>295</v>
      </c>
      <c r="D142" s="170" t="s">
        <v>430</v>
      </c>
      <c r="E142" s="171" t="s">
        <v>627</v>
      </c>
      <c r="F142" s="56" t="s">
        <v>756</v>
      </c>
      <c r="G142" s="56" t="s">
        <v>430</v>
      </c>
      <c r="H142" s="56"/>
      <c r="I142" s="56"/>
      <c r="J142" s="56"/>
    </row>
    <row r="143" spans="1:10" ht="12">
      <c r="A143" s="58" t="str">
        <f>IF(INDEX(B143:J143,Data!$K$4)="","",INDEX(B143:J143,Data!$K$4))</f>
        <v>Brandstofstikstof</v>
      </c>
      <c r="B143" s="170" t="s">
        <v>67</v>
      </c>
      <c r="C143" s="170" t="s">
        <v>296</v>
      </c>
      <c r="D143" s="170" t="s">
        <v>431</v>
      </c>
      <c r="E143" s="171" t="s">
        <v>628</v>
      </c>
      <c r="F143" s="56" t="s">
        <v>757</v>
      </c>
      <c r="G143" s="56" t="s">
        <v>981</v>
      </c>
      <c r="H143" s="56"/>
      <c r="I143" s="56"/>
      <c r="J143" s="56"/>
    </row>
    <row r="144" spans="1:10" ht="12">
      <c r="A144" s="58" t="str">
        <f>IF(INDEX(B144:J144,Data!$K$4)="","",INDEX(B144:J144,Data!$K$4))</f>
        <v>Concentratie in mol%</v>
      </c>
      <c r="B144" s="170" t="s">
        <v>61</v>
      </c>
      <c r="C144" s="170" t="s">
        <v>297</v>
      </c>
      <c r="D144" s="170" t="s">
        <v>432</v>
      </c>
      <c r="E144" s="171" t="s">
        <v>629</v>
      </c>
      <c r="F144" s="56" t="s">
        <v>758</v>
      </c>
      <c r="G144" s="56" t="s">
        <v>982</v>
      </c>
      <c r="H144" s="56"/>
      <c r="I144" s="56"/>
      <c r="J144" s="56"/>
    </row>
    <row r="145" spans="1:10" ht="12">
      <c r="A145" s="58" t="str">
        <f>IF(INDEX(B145:J145,Data!$K$4)="","",INDEX(B145:J145,Data!$K$4))</f>
        <v>Helium</v>
      </c>
      <c r="B145" s="170" t="s">
        <v>62</v>
      </c>
      <c r="C145" s="170" t="s">
        <v>62</v>
      </c>
      <c r="D145" s="170" t="s">
        <v>433</v>
      </c>
      <c r="E145" s="171" t="s">
        <v>62</v>
      </c>
      <c r="F145" s="56" t="s">
        <v>759</v>
      </c>
      <c r="G145" s="170" t="s">
        <v>945</v>
      </c>
      <c r="H145" s="56"/>
      <c r="I145" s="56"/>
      <c r="J145" s="56"/>
    </row>
    <row r="146" spans="1:10" ht="12">
      <c r="A146" s="58" t="str">
        <f>IF(INDEX(B146:J146,Data!$K$4)="","",INDEX(B146:J146,Data!$K$4))</f>
        <v>Argon</v>
      </c>
      <c r="B146" s="170" t="s">
        <v>63</v>
      </c>
      <c r="C146" s="170" t="s">
        <v>63</v>
      </c>
      <c r="D146" s="170" t="s">
        <v>63</v>
      </c>
      <c r="E146" s="171" t="s">
        <v>63</v>
      </c>
      <c r="F146" s="56" t="s">
        <v>760</v>
      </c>
      <c r="G146" s="170" t="s">
        <v>63</v>
      </c>
      <c r="H146" s="56"/>
      <c r="I146" s="56"/>
      <c r="J146" s="56"/>
    </row>
    <row r="147" spans="1:10" ht="12">
      <c r="A147" s="58" t="str">
        <f>IF(INDEX(B147:J147,Data!$K$4)="","",INDEX(B147:J147,Data!$K$4))</f>
        <v>Waterstofsulfide *</v>
      </c>
      <c r="B147" s="170" t="s">
        <v>64</v>
      </c>
      <c r="C147" s="170" t="s">
        <v>298</v>
      </c>
      <c r="D147" s="170" t="s">
        <v>434</v>
      </c>
      <c r="E147" s="171" t="s">
        <v>630</v>
      </c>
      <c r="F147" s="56" t="s">
        <v>761</v>
      </c>
      <c r="G147" s="170" t="s">
        <v>946</v>
      </c>
      <c r="H147" s="56"/>
      <c r="I147" s="56"/>
      <c r="J147" s="56"/>
    </row>
    <row r="148" spans="1:10" ht="12">
      <c r="A148" s="58" t="str">
        <f>IF(INDEX(B148:J148,Data!$K$4)="","",INDEX(B148:J148,Data!$K$4))</f>
        <v>Waterstof</v>
      </c>
      <c r="B148" s="170" t="s">
        <v>65</v>
      </c>
      <c r="C148" s="170" t="s">
        <v>299</v>
      </c>
      <c r="D148" s="170" t="s">
        <v>435</v>
      </c>
      <c r="E148" s="171" t="s">
        <v>631</v>
      </c>
      <c r="F148" s="56" t="s">
        <v>762</v>
      </c>
      <c r="G148" s="170" t="s">
        <v>953</v>
      </c>
      <c r="H148" s="56"/>
      <c r="I148" s="56"/>
      <c r="J148" s="56"/>
    </row>
    <row r="149" spans="1:10" ht="12">
      <c r="A149" s="58" t="str">
        <f>IF(INDEX(B149:J149,Data!$K$4)="","",INDEX(B149:J149,Data!$K$4))</f>
        <v>Waterdamp</v>
      </c>
      <c r="B149" s="170" t="s">
        <v>66</v>
      </c>
      <c r="C149" s="170" t="s">
        <v>300</v>
      </c>
      <c r="D149" s="170" t="s">
        <v>436</v>
      </c>
      <c r="E149" s="171" t="s">
        <v>632</v>
      </c>
      <c r="F149" s="56" t="s">
        <v>763</v>
      </c>
      <c r="G149" s="170" t="s">
        <v>947</v>
      </c>
      <c r="H149" s="56"/>
      <c r="I149" s="56"/>
      <c r="J149" s="56"/>
    </row>
    <row r="150" spans="1:10" ht="12">
      <c r="A150" s="58" t="str">
        <f>IF(INDEX(B150:J150,Data!$K$4)="","",INDEX(B150:J150,Data!$K$4))</f>
        <v>Stikstof</v>
      </c>
      <c r="B150" s="170" t="s">
        <v>68</v>
      </c>
      <c r="C150" s="170" t="s">
        <v>301</v>
      </c>
      <c r="D150" s="170" t="s">
        <v>437</v>
      </c>
      <c r="E150" s="171" t="s">
        <v>633</v>
      </c>
      <c r="F150" s="56" t="s">
        <v>764</v>
      </c>
      <c r="G150" s="170" t="s">
        <v>948</v>
      </c>
      <c r="H150" s="56"/>
      <c r="I150" s="56"/>
      <c r="J150" s="56"/>
    </row>
    <row r="151" spans="1:10" ht="12">
      <c r="A151" s="58" t="str">
        <f>IF(INDEX(B151:J151,Data!$K$4)="","",INDEX(B151:J151,Data!$K$4))</f>
        <v>Zuurstof</v>
      </c>
      <c r="B151" s="170" t="s">
        <v>69</v>
      </c>
      <c r="C151" s="170" t="s">
        <v>302</v>
      </c>
      <c r="D151" s="170" t="s">
        <v>438</v>
      </c>
      <c r="E151" s="171" t="s">
        <v>634</v>
      </c>
      <c r="F151" s="56" t="s">
        <v>765</v>
      </c>
      <c r="G151" s="170" t="s">
        <v>949</v>
      </c>
      <c r="H151" s="56"/>
      <c r="I151" s="56"/>
      <c r="J151" s="56"/>
    </row>
    <row r="152" spans="1:10" ht="12">
      <c r="A152" s="58" t="str">
        <f>IF(INDEX(B152:J152,Data!$K$4)="","",INDEX(B152:J152,Data!$K$4))</f>
        <v>Methaan</v>
      </c>
      <c r="B152" s="170" t="s">
        <v>70</v>
      </c>
      <c r="C152" s="170" t="s">
        <v>303</v>
      </c>
      <c r="D152" s="170" t="s">
        <v>439</v>
      </c>
      <c r="E152" s="171" t="s">
        <v>439</v>
      </c>
      <c r="F152" s="56" t="s">
        <v>766</v>
      </c>
      <c r="G152" s="170" t="s">
        <v>439</v>
      </c>
      <c r="H152" s="56"/>
      <c r="I152" s="56"/>
      <c r="J152" s="56"/>
    </row>
    <row r="153" spans="1:10" ht="12">
      <c r="A153" s="58" t="str">
        <f>IF(INDEX(B153:J153,Data!$K$4)="","",INDEX(B153:J153,Data!$K$4))</f>
        <v>Koolstofmonoxide</v>
      </c>
      <c r="B153" s="170" t="s">
        <v>71</v>
      </c>
      <c r="C153" s="170" t="s">
        <v>304</v>
      </c>
      <c r="D153" s="170" t="s">
        <v>440</v>
      </c>
      <c r="E153" s="171" t="s">
        <v>635</v>
      </c>
      <c r="F153" s="56" t="s">
        <v>767</v>
      </c>
      <c r="G153" s="170" t="s">
        <v>950</v>
      </c>
      <c r="H153" s="56"/>
      <c r="I153" s="56"/>
      <c r="J153" s="56"/>
    </row>
    <row r="154" spans="1:10" ht="12">
      <c r="A154" s="58" t="str">
        <f>IF(INDEX(B154:J154,Data!$K$4)="","",INDEX(B154:J154,Data!$K$4))</f>
        <v>Koolstofdioxide</v>
      </c>
      <c r="B154" s="170" t="s">
        <v>58</v>
      </c>
      <c r="C154" s="170" t="s">
        <v>305</v>
      </c>
      <c r="D154" s="170" t="s">
        <v>441</v>
      </c>
      <c r="E154" s="171" t="s">
        <v>636</v>
      </c>
      <c r="F154" s="56" t="s">
        <v>768</v>
      </c>
      <c r="G154" s="170" t="s">
        <v>951</v>
      </c>
      <c r="H154" s="56"/>
      <c r="I154" s="56"/>
      <c r="J154" s="56"/>
    </row>
    <row r="155" spans="1:10" ht="12">
      <c r="A155" s="58" t="str">
        <f>IF(INDEX(B155:J155,Data!$K$4)="","",INDEX(B155:J155,Data!$K$4))</f>
        <v>Ethaan</v>
      </c>
      <c r="B155" s="170" t="s">
        <v>72</v>
      </c>
      <c r="C155" s="170" t="s">
        <v>306</v>
      </c>
      <c r="D155" s="170" t="s">
        <v>442</v>
      </c>
      <c r="E155" s="171" t="s">
        <v>442</v>
      </c>
      <c r="F155" s="56" t="s">
        <v>769</v>
      </c>
      <c r="G155" s="170" t="s">
        <v>442</v>
      </c>
      <c r="H155" s="56"/>
      <c r="I155" s="56"/>
      <c r="J155" s="56"/>
    </row>
    <row r="156" spans="1:10" ht="12">
      <c r="A156" s="58" t="str">
        <f>IF(INDEX(B156:J156,Data!$K$4)="","",INDEX(B156:J156,Data!$K$4))</f>
        <v>Etheen *</v>
      </c>
      <c r="B156" s="170" t="s">
        <v>73</v>
      </c>
      <c r="C156" s="170" t="s">
        <v>307</v>
      </c>
      <c r="D156" s="170" t="s">
        <v>443</v>
      </c>
      <c r="E156" s="171" t="s">
        <v>443</v>
      </c>
      <c r="F156" s="56" t="s">
        <v>770</v>
      </c>
      <c r="G156" s="170" t="s">
        <v>443</v>
      </c>
      <c r="H156" s="56"/>
      <c r="I156" s="56"/>
      <c r="J156" s="56"/>
    </row>
    <row r="157" spans="1:10" ht="12">
      <c r="A157" s="58" t="str">
        <f>IF(INDEX(B157:J157,Data!$K$4)="","",INDEX(B157:J157,Data!$K$4))</f>
        <v>Ethyn *</v>
      </c>
      <c r="B157" s="170" t="s">
        <v>74</v>
      </c>
      <c r="C157" s="170" t="s">
        <v>308</v>
      </c>
      <c r="D157" s="170" t="s">
        <v>444</v>
      </c>
      <c r="E157" s="171" t="s">
        <v>444</v>
      </c>
      <c r="F157" s="56" t="s">
        <v>771</v>
      </c>
      <c r="G157" s="170" t="s">
        <v>952</v>
      </c>
      <c r="H157" s="56"/>
      <c r="I157" s="56"/>
      <c r="J157" s="56"/>
    </row>
    <row r="158" spans="1:10" ht="12">
      <c r="A158" s="58" t="str">
        <f>IF(INDEX(B158:J158,Data!$K$4)="","",INDEX(B158:J158,Data!$K$4))</f>
        <v>Propaan</v>
      </c>
      <c r="B158" s="170" t="s">
        <v>75</v>
      </c>
      <c r="C158" s="170" t="s">
        <v>309</v>
      </c>
      <c r="D158" s="170" t="s">
        <v>445</v>
      </c>
      <c r="E158" s="171" t="s">
        <v>445</v>
      </c>
      <c r="F158" s="56" t="s">
        <v>772</v>
      </c>
      <c r="G158" s="170" t="s">
        <v>445</v>
      </c>
      <c r="H158" s="56"/>
      <c r="I158" s="56"/>
      <c r="J158" s="56"/>
    </row>
    <row r="159" spans="1:10" ht="12">
      <c r="A159" s="58" t="str">
        <f>IF(INDEX(B159:J159,Data!$K$4)="","",INDEX(B159:J159,Data!$K$4))</f>
        <v>Propeen *</v>
      </c>
      <c r="B159" s="170" t="s">
        <v>76</v>
      </c>
      <c r="C159" s="170" t="s">
        <v>310</v>
      </c>
      <c r="D159" s="170" t="s">
        <v>446</v>
      </c>
      <c r="E159" s="171" t="s">
        <v>446</v>
      </c>
      <c r="F159" s="56" t="s">
        <v>773</v>
      </c>
      <c r="G159" s="170" t="s">
        <v>446</v>
      </c>
      <c r="H159" s="56"/>
      <c r="I159" s="56"/>
      <c r="J159" s="56"/>
    </row>
    <row r="160" spans="1:10" ht="12">
      <c r="A160" s="58" t="str">
        <f>IF(INDEX(B160:J160,Data!$K$4)="","",INDEX(B160:J160,Data!$K$4))</f>
        <v>2-Methylpropaan</v>
      </c>
      <c r="B160" s="170" t="s">
        <v>77</v>
      </c>
      <c r="C160" s="170" t="s">
        <v>311</v>
      </c>
      <c r="D160" s="170" t="s">
        <v>447</v>
      </c>
      <c r="E160" s="171" t="s">
        <v>637</v>
      </c>
      <c r="F160" s="56" t="s">
        <v>774</v>
      </c>
      <c r="G160" s="170" t="s">
        <v>954</v>
      </c>
      <c r="H160" s="56"/>
      <c r="I160" s="56"/>
      <c r="J160" s="56"/>
    </row>
    <row r="161" spans="1:10" ht="12">
      <c r="A161" s="58" t="str">
        <f>IF(INDEX(B161:J161,Data!$K$4)="","",INDEX(B161:J161,Data!$K$4))</f>
        <v>n-Butaan</v>
      </c>
      <c r="B161" s="170" t="s">
        <v>78</v>
      </c>
      <c r="C161" s="170" t="s">
        <v>312</v>
      </c>
      <c r="D161" s="170" t="s">
        <v>448</v>
      </c>
      <c r="E161" s="171" t="s">
        <v>448</v>
      </c>
      <c r="F161" s="170" t="s">
        <v>775</v>
      </c>
      <c r="G161" s="170" t="s">
        <v>955</v>
      </c>
      <c r="H161" s="56"/>
      <c r="I161" s="56"/>
      <c r="J161" s="56"/>
    </row>
    <row r="162" spans="1:10" ht="12">
      <c r="A162" s="58" t="str">
        <f>IF(INDEX(B162:J162,Data!$K$4)="","",INDEX(B162:J162,Data!$K$4))</f>
        <v>Butadieen *</v>
      </c>
      <c r="B162" s="170" t="s">
        <v>79</v>
      </c>
      <c r="C162" s="170" t="s">
        <v>313</v>
      </c>
      <c r="D162" s="170" t="s">
        <v>449</v>
      </c>
      <c r="E162" s="171" t="s">
        <v>449</v>
      </c>
      <c r="F162" s="178" t="s">
        <v>776</v>
      </c>
      <c r="G162" s="170" t="s">
        <v>449</v>
      </c>
      <c r="H162" s="56"/>
      <c r="I162" s="56"/>
      <c r="J162" s="56"/>
    </row>
    <row r="163" spans="1:10" ht="12">
      <c r="A163" s="58" t="str">
        <f>IF(INDEX(B163:J163,Data!$K$4)="","",INDEX(B163:J163,Data!$K$4))</f>
        <v>2,2-Dimethylpropaan</v>
      </c>
      <c r="B163" s="170" t="s">
        <v>80</v>
      </c>
      <c r="C163" s="170" t="s">
        <v>314</v>
      </c>
      <c r="D163" s="170" t="s">
        <v>450</v>
      </c>
      <c r="E163" s="171" t="s">
        <v>638</v>
      </c>
      <c r="F163" s="56" t="s">
        <v>777</v>
      </c>
      <c r="G163" s="170" t="s">
        <v>956</v>
      </c>
      <c r="H163" s="56"/>
      <c r="I163" s="56"/>
      <c r="J163" s="56"/>
    </row>
    <row r="164" spans="1:10" ht="12">
      <c r="A164" s="58" t="str">
        <f>IF(INDEX(B164:J164,Data!$K$4)="","",INDEX(B164:J164,Data!$K$4))</f>
        <v>2-Methylbutaan</v>
      </c>
      <c r="B164" s="170" t="s">
        <v>81</v>
      </c>
      <c r="C164" s="170" t="s">
        <v>315</v>
      </c>
      <c r="D164" s="170" t="s">
        <v>451</v>
      </c>
      <c r="E164" s="171" t="s">
        <v>639</v>
      </c>
      <c r="F164" s="56" t="s">
        <v>778</v>
      </c>
      <c r="G164" s="170" t="s">
        <v>957</v>
      </c>
      <c r="H164" s="56"/>
      <c r="I164" s="56"/>
      <c r="J164" s="56"/>
    </row>
    <row r="165" spans="1:10" ht="12">
      <c r="A165" s="58" t="str">
        <f>IF(INDEX(B165:J165,Data!$K$4)="","",INDEX(B165:J165,Data!$K$4))</f>
        <v>n-Pentaan</v>
      </c>
      <c r="B165" s="170" t="s">
        <v>82</v>
      </c>
      <c r="C165" s="170" t="s">
        <v>316</v>
      </c>
      <c r="D165" s="170" t="s">
        <v>452</v>
      </c>
      <c r="E165" s="171" t="s">
        <v>452</v>
      </c>
      <c r="F165" s="170" t="s">
        <v>779</v>
      </c>
      <c r="G165" s="170" t="s">
        <v>958</v>
      </c>
      <c r="H165" s="56"/>
      <c r="I165" s="56"/>
      <c r="J165" s="56"/>
    </row>
    <row r="166" spans="1:10" ht="12">
      <c r="A166" s="58" t="str">
        <f>IF(INDEX(B166:J166,Data!$K$4)="","",INDEX(B166:J166,Data!$K$4))</f>
        <v>Cyclopentaan *</v>
      </c>
      <c r="B166" s="170" t="s">
        <v>83</v>
      </c>
      <c r="C166" s="170" t="s">
        <v>317</v>
      </c>
      <c r="D166" s="170" t="s">
        <v>453</v>
      </c>
      <c r="E166" s="171" t="s">
        <v>453</v>
      </c>
      <c r="F166" s="56" t="s">
        <v>780</v>
      </c>
      <c r="G166" s="170" t="s">
        <v>959</v>
      </c>
      <c r="H166" s="56"/>
      <c r="I166" s="56"/>
      <c r="J166" s="56"/>
    </row>
    <row r="167" spans="1:10" ht="12">
      <c r="A167" s="58" t="str">
        <f>IF(INDEX(B167:J167,Data!$K$4)="","",INDEX(B167:J167,Data!$K$4))</f>
        <v>2,2-Dimethylbutaan</v>
      </c>
      <c r="B167" s="170" t="s">
        <v>84</v>
      </c>
      <c r="C167" s="170" t="s">
        <v>318</v>
      </c>
      <c r="D167" s="170" t="s">
        <v>454</v>
      </c>
      <c r="E167" s="171" t="s">
        <v>640</v>
      </c>
      <c r="F167" s="56" t="s">
        <v>781</v>
      </c>
      <c r="G167" s="170" t="s">
        <v>960</v>
      </c>
      <c r="H167" s="56"/>
      <c r="I167" s="56"/>
      <c r="J167" s="56"/>
    </row>
    <row r="168" spans="1:10" ht="12">
      <c r="A168" s="58" t="str">
        <f>IF(INDEX(B168:J168,Data!$K$4)="","",INDEX(B168:J168,Data!$K$4))</f>
        <v>2,3-Dimethylbutaan</v>
      </c>
      <c r="B168" s="170" t="s">
        <v>85</v>
      </c>
      <c r="C168" s="170" t="s">
        <v>319</v>
      </c>
      <c r="D168" s="170" t="s">
        <v>455</v>
      </c>
      <c r="E168" s="171" t="s">
        <v>641</v>
      </c>
      <c r="F168" s="56" t="s">
        <v>782</v>
      </c>
      <c r="G168" s="170" t="s">
        <v>961</v>
      </c>
      <c r="H168" s="56"/>
      <c r="I168" s="56"/>
      <c r="J168" s="56"/>
    </row>
    <row r="169" spans="1:10" ht="12">
      <c r="A169" s="58" t="str">
        <f>IF(INDEX(B169:J169,Data!$K$4)="","",INDEX(B169:J169,Data!$K$4))</f>
        <v>3-Methylpentaan</v>
      </c>
      <c r="B169" s="170" t="s">
        <v>86</v>
      </c>
      <c r="C169" s="170" t="s">
        <v>320</v>
      </c>
      <c r="D169" s="170" t="s">
        <v>456</v>
      </c>
      <c r="E169" s="171" t="s">
        <v>642</v>
      </c>
      <c r="F169" s="56" t="s">
        <v>783</v>
      </c>
      <c r="G169" s="170" t="s">
        <v>962</v>
      </c>
      <c r="H169" s="56"/>
      <c r="I169" s="56"/>
      <c r="J169" s="56"/>
    </row>
    <row r="170" spans="1:10" ht="12">
      <c r="A170" s="58" t="str">
        <f>IF(INDEX(B170:J170,Data!$K$4)="","",INDEX(B170:J170,Data!$K$4))</f>
        <v>Cyclohexaan</v>
      </c>
      <c r="B170" s="170" t="s">
        <v>87</v>
      </c>
      <c r="C170" s="170" t="s">
        <v>321</v>
      </c>
      <c r="D170" s="170" t="s">
        <v>457</v>
      </c>
      <c r="E170" s="174" t="s">
        <v>643</v>
      </c>
      <c r="F170" s="56" t="s">
        <v>784</v>
      </c>
      <c r="G170" s="170" t="s">
        <v>963</v>
      </c>
      <c r="H170" s="56"/>
      <c r="I170" s="56"/>
      <c r="J170" s="56"/>
    </row>
    <row r="171" spans="1:10" ht="12">
      <c r="A171" s="58" t="str">
        <f>IF(INDEX(B171:J171,Data!$K$4)="","",INDEX(B171:J171,Data!$K$4))</f>
        <v>n-Hexaan</v>
      </c>
      <c r="B171" s="170" t="s">
        <v>88</v>
      </c>
      <c r="C171" s="170" t="s">
        <v>322</v>
      </c>
      <c r="D171" s="170" t="s">
        <v>458</v>
      </c>
      <c r="E171" s="174" t="s">
        <v>644</v>
      </c>
      <c r="F171" s="170" t="s">
        <v>785</v>
      </c>
      <c r="G171" s="170" t="s">
        <v>964</v>
      </c>
      <c r="H171" s="56"/>
      <c r="I171" s="56"/>
      <c r="J171" s="56"/>
    </row>
    <row r="172" spans="1:10" ht="12">
      <c r="A172" s="58" t="str">
        <f>IF(INDEX(B172:J172,Data!$K$4)="","",INDEX(B172:J172,Data!$K$4))</f>
        <v>Benzeen</v>
      </c>
      <c r="B172" s="170" t="s">
        <v>89</v>
      </c>
      <c r="C172" s="170" t="s">
        <v>323</v>
      </c>
      <c r="D172" s="170" t="s">
        <v>459</v>
      </c>
      <c r="E172" s="174" t="s">
        <v>459</v>
      </c>
      <c r="F172" s="56" t="s">
        <v>786</v>
      </c>
      <c r="G172" s="170" t="s">
        <v>459</v>
      </c>
      <c r="H172" s="56"/>
      <c r="I172" s="56"/>
      <c r="J172" s="56"/>
    </row>
    <row r="173" spans="1:10" ht="12">
      <c r="A173" s="58" t="str">
        <f>IF(INDEX(B173:J173,Data!$K$4)="","",INDEX(B173:J173,Data!$K$4))</f>
        <v>2-Methylhexaan</v>
      </c>
      <c r="B173" s="170" t="s">
        <v>90</v>
      </c>
      <c r="C173" s="170" t="s">
        <v>324</v>
      </c>
      <c r="D173" s="170" t="s">
        <v>460</v>
      </c>
      <c r="E173" s="174" t="s">
        <v>645</v>
      </c>
      <c r="F173" s="56" t="s">
        <v>787</v>
      </c>
      <c r="G173" s="170" t="s">
        <v>965</v>
      </c>
      <c r="H173" s="56"/>
      <c r="I173" s="56"/>
      <c r="J173" s="56"/>
    </row>
    <row r="174" spans="1:10" ht="12">
      <c r="A174" s="58" t="str">
        <f>IF(INDEX(B174:J174,Data!$K$4)="","",INDEX(B174:J174,Data!$K$4))</f>
        <v>3-Methylhexaan</v>
      </c>
      <c r="B174" s="170" t="s">
        <v>91</v>
      </c>
      <c r="C174" s="170" t="s">
        <v>325</v>
      </c>
      <c r="D174" s="170" t="s">
        <v>461</v>
      </c>
      <c r="E174" s="174" t="s">
        <v>646</v>
      </c>
      <c r="F174" s="56" t="s">
        <v>783</v>
      </c>
      <c r="G174" s="170" t="s">
        <v>966</v>
      </c>
      <c r="H174" s="56"/>
      <c r="I174" s="56"/>
      <c r="J174" s="56"/>
    </row>
    <row r="175" spans="1:10" ht="12">
      <c r="A175" s="58" t="str">
        <f>IF(INDEX(B175:J175,Data!$K$4)="","",INDEX(B175:J175,Data!$K$4))</f>
        <v>n-Heptaan</v>
      </c>
      <c r="B175" s="170" t="s">
        <v>92</v>
      </c>
      <c r="C175" s="170" t="s">
        <v>326</v>
      </c>
      <c r="D175" s="170" t="s">
        <v>462</v>
      </c>
      <c r="E175" s="174" t="s">
        <v>462</v>
      </c>
      <c r="F175" s="170" t="s">
        <v>788</v>
      </c>
      <c r="G175" s="170" t="s">
        <v>967</v>
      </c>
      <c r="H175" s="56"/>
      <c r="I175" s="56"/>
      <c r="J175" s="56"/>
    </row>
    <row r="176" spans="1:10" ht="12">
      <c r="A176" s="58" t="str">
        <f>IF(INDEX(B176:J176,Data!$K$4)="","",INDEX(B176:J176,Data!$K$4))</f>
        <v>Methylcyclohexaan</v>
      </c>
      <c r="B176" s="170" t="s">
        <v>93</v>
      </c>
      <c r="C176" s="170" t="s">
        <v>327</v>
      </c>
      <c r="D176" s="170" t="s">
        <v>463</v>
      </c>
      <c r="E176" s="174" t="s">
        <v>647</v>
      </c>
      <c r="F176" s="56" t="s">
        <v>789</v>
      </c>
      <c r="G176" s="170" t="s">
        <v>968</v>
      </c>
      <c r="H176" s="56"/>
      <c r="I176" s="56"/>
      <c r="J176" s="56"/>
    </row>
    <row r="177" spans="1:10" ht="12">
      <c r="A177" s="58" t="str">
        <f>IF(INDEX(B177:J177,Data!$K$4)="","",INDEX(B177:J177,Data!$K$4))</f>
        <v>Tolueen</v>
      </c>
      <c r="B177" s="170" t="s">
        <v>94</v>
      </c>
      <c r="C177" s="170" t="s">
        <v>328</v>
      </c>
      <c r="D177" s="170" t="s">
        <v>464</v>
      </c>
      <c r="E177" s="174" t="s">
        <v>464</v>
      </c>
      <c r="F177" s="56" t="s">
        <v>790</v>
      </c>
      <c r="G177" s="170" t="s">
        <v>464</v>
      </c>
      <c r="H177" s="56"/>
      <c r="I177" s="56"/>
      <c r="J177" s="56"/>
    </row>
    <row r="178" spans="1:10" ht="12">
      <c r="A178" s="58" t="str">
        <f>IF(INDEX(B178:J178,Data!$K$4)="","",INDEX(B178:J178,Data!$K$4))</f>
        <v>2-Methylheptaan *</v>
      </c>
      <c r="B178" s="170" t="s">
        <v>95</v>
      </c>
      <c r="C178" s="170" t="s">
        <v>329</v>
      </c>
      <c r="D178" s="170" t="s">
        <v>465</v>
      </c>
      <c r="E178" s="174" t="s">
        <v>648</v>
      </c>
      <c r="F178" s="56" t="s">
        <v>791</v>
      </c>
      <c r="G178" s="170" t="s">
        <v>969</v>
      </c>
      <c r="H178" s="56"/>
      <c r="I178" s="56"/>
      <c r="J178" s="56"/>
    </row>
    <row r="179" spans="1:10" ht="12">
      <c r="A179" s="58" t="str">
        <f>IF(INDEX(B179:J179,Data!$K$4)="","",INDEX(B179:J179,Data!$K$4))</f>
        <v>2,2,4-Trimethylpentaan</v>
      </c>
      <c r="B179" s="170" t="s">
        <v>96</v>
      </c>
      <c r="C179" s="170" t="s">
        <v>330</v>
      </c>
      <c r="D179" s="170" t="s">
        <v>466</v>
      </c>
      <c r="E179" s="174" t="s">
        <v>649</v>
      </c>
      <c r="F179" s="56" t="s">
        <v>792</v>
      </c>
      <c r="G179" s="170" t="s">
        <v>970</v>
      </c>
      <c r="H179" s="56"/>
      <c r="I179" s="56"/>
      <c r="J179" s="56"/>
    </row>
    <row r="180" spans="1:10" ht="12">
      <c r="A180" s="58" t="str">
        <f>IF(INDEX(B180:J180,Data!$K$4)="","",INDEX(B180:J180,Data!$K$4))</f>
        <v>n-Octaan</v>
      </c>
      <c r="B180" s="170" t="s">
        <v>97</v>
      </c>
      <c r="C180" s="170" t="s">
        <v>331</v>
      </c>
      <c r="D180" s="170" t="s">
        <v>467</v>
      </c>
      <c r="E180" s="171" t="s">
        <v>467</v>
      </c>
      <c r="F180" s="170" t="s">
        <v>793</v>
      </c>
      <c r="G180" s="170" t="s">
        <v>971</v>
      </c>
      <c r="H180" s="56"/>
      <c r="I180" s="56"/>
      <c r="J180" s="56"/>
    </row>
    <row r="181" spans="1:10" ht="12">
      <c r="A181" s="58" t="str">
        <f>IF(INDEX(B181:J181,Data!$K$4)="","",INDEX(B181:J181,Data!$K$4))</f>
        <v>Totaal</v>
      </c>
      <c r="B181" s="170" t="s">
        <v>98</v>
      </c>
      <c r="C181" s="170" t="s">
        <v>253</v>
      </c>
      <c r="D181" s="170" t="s">
        <v>396</v>
      </c>
      <c r="E181" s="171" t="s">
        <v>616</v>
      </c>
      <c r="F181" s="56" t="s">
        <v>712</v>
      </c>
      <c r="G181" s="56" t="s">
        <v>898</v>
      </c>
      <c r="H181" s="56"/>
      <c r="I181" s="56"/>
      <c r="J181" s="56"/>
    </row>
    <row r="182" spans="1:10" ht="22.5">
      <c r="A182" s="58" t="str">
        <f>IF(INDEX(B182:J182,Data!$K$4)="","",INDEX(B182:J182,Data!$K$4))</f>
        <v>(*: verbinding niet genoemd in ISO 6976)</v>
      </c>
      <c r="B182" s="170" t="s">
        <v>99</v>
      </c>
      <c r="C182" s="170" t="s">
        <v>332</v>
      </c>
      <c r="D182" s="170" t="s">
        <v>468</v>
      </c>
      <c r="E182" s="174" t="s">
        <v>603</v>
      </c>
      <c r="F182" s="56" t="s">
        <v>794</v>
      </c>
      <c r="G182" s="170" t="s">
        <v>972</v>
      </c>
      <c r="H182" s="56"/>
      <c r="I182" s="56"/>
      <c r="J182" s="56"/>
    </row>
    <row r="183" spans="1:10" ht="12">
      <c r="A183" s="58" t="str">
        <f>IF(INDEX(B183:J183,Data!$K$4)="","",INDEX(B183:J183,Data!$K$4))</f>
        <v>Zwaveldioxide</v>
      </c>
      <c r="B183" s="170" t="s">
        <v>59</v>
      </c>
      <c r="C183" s="170" t="s">
        <v>333</v>
      </c>
      <c r="D183" s="170" t="s">
        <v>469</v>
      </c>
      <c r="E183" s="171" t="s">
        <v>650</v>
      </c>
      <c r="F183" s="56" t="s">
        <v>795</v>
      </c>
      <c r="G183" s="56" t="s">
        <v>944</v>
      </c>
      <c r="H183" s="56"/>
      <c r="I183" s="56"/>
      <c r="J183" s="56"/>
    </row>
    <row r="184" spans="1:10" ht="12">
      <c r="A184" s="58" t="str">
        <f>IF(INDEX(B184:J184,Data!$K$4)="","",INDEX(B184:J184,Data!$K$4))</f>
        <v>mol C/mol</v>
      </c>
      <c r="B184" s="170" t="s">
        <v>15</v>
      </c>
      <c r="C184" s="170" t="s">
        <v>15</v>
      </c>
      <c r="D184" s="170" t="s">
        <v>15</v>
      </c>
      <c r="E184" s="174" t="s">
        <v>15</v>
      </c>
      <c r="F184" s="170" t="s">
        <v>15</v>
      </c>
      <c r="G184" s="170" t="s">
        <v>976</v>
      </c>
      <c r="H184" s="56"/>
      <c r="I184" s="56"/>
      <c r="J184" s="56"/>
    </row>
    <row r="185" spans="1:10" ht="12">
      <c r="A185" s="58" t="str">
        <f>IF(INDEX(B185:J185,Data!$K$4)="","",INDEX(B185:J185,Data!$K$4))</f>
        <v>mol H/mol</v>
      </c>
      <c r="B185" s="170" t="s">
        <v>16</v>
      </c>
      <c r="C185" s="170" t="s">
        <v>16</v>
      </c>
      <c r="D185" s="170" t="s">
        <v>16</v>
      </c>
      <c r="E185" s="174" t="s">
        <v>16</v>
      </c>
      <c r="F185" s="170" t="s">
        <v>16</v>
      </c>
      <c r="G185" s="170" t="s">
        <v>977</v>
      </c>
      <c r="H185" s="56"/>
      <c r="I185" s="56"/>
      <c r="J185" s="56"/>
    </row>
    <row r="186" spans="1:10" ht="12">
      <c r="A186" s="58" t="str">
        <f>IF(INDEX(B186:J186,Data!$K$4)="","",INDEX(B186:J186,Data!$K$4))</f>
        <v>mol O/mol</v>
      </c>
      <c r="B186" s="170" t="s">
        <v>17</v>
      </c>
      <c r="C186" s="170" t="s">
        <v>17</v>
      </c>
      <c r="D186" s="170" t="s">
        <v>17</v>
      </c>
      <c r="E186" s="174" t="s">
        <v>17</v>
      </c>
      <c r="F186" s="170" t="s">
        <v>17</v>
      </c>
      <c r="G186" s="170" t="s">
        <v>978</v>
      </c>
      <c r="H186" s="56"/>
      <c r="I186" s="56"/>
      <c r="J186" s="56"/>
    </row>
    <row r="187" spans="1:10" ht="12">
      <c r="A187" s="58" t="str">
        <f>IF(INDEX(B187:J187,Data!$K$4)="","",INDEX(B187:J187,Data!$K$4))</f>
        <v>mol N/mol</v>
      </c>
      <c r="B187" s="170" t="s">
        <v>18</v>
      </c>
      <c r="C187" s="170" t="s">
        <v>18</v>
      </c>
      <c r="D187" s="170" t="s">
        <v>18</v>
      </c>
      <c r="E187" s="171" t="s">
        <v>18</v>
      </c>
      <c r="F187" s="170" t="s">
        <v>18</v>
      </c>
      <c r="G187" s="170" t="s">
        <v>979</v>
      </c>
      <c r="H187" s="56"/>
      <c r="I187" s="56"/>
      <c r="J187" s="56"/>
    </row>
    <row r="188" spans="1:10" ht="12">
      <c r="A188" s="58" t="str">
        <f>IF(INDEX(B188:J188,Data!$K$4)="","",INDEX(B188:J188,Data!$K$4))</f>
        <v>mol S/mol</v>
      </c>
      <c r="B188" s="170" t="s">
        <v>19</v>
      </c>
      <c r="C188" s="170" t="s">
        <v>19</v>
      </c>
      <c r="D188" s="170" t="s">
        <v>19</v>
      </c>
      <c r="E188" s="171" t="s">
        <v>19</v>
      </c>
      <c r="F188" s="170" t="s">
        <v>19</v>
      </c>
      <c r="G188" s="170" t="s">
        <v>980</v>
      </c>
      <c r="H188" s="56"/>
      <c r="I188" s="56"/>
      <c r="J188" s="56"/>
    </row>
    <row r="189" spans="1:10" ht="12">
      <c r="A189" s="58" t="str">
        <f>IF(INDEX(B189:J189,Data!$K$4)="","",INDEX(B189:J189,Data!$K$4))</f>
        <v>Molgewicht</v>
      </c>
      <c r="B189" s="170" t="s">
        <v>100</v>
      </c>
      <c r="C189" s="170" t="s">
        <v>334</v>
      </c>
      <c r="D189" s="170" t="s">
        <v>471</v>
      </c>
      <c r="E189" s="171" t="s">
        <v>651</v>
      </c>
      <c r="F189" s="56" t="s">
        <v>796</v>
      </c>
      <c r="G189" s="56" t="s">
        <v>973</v>
      </c>
      <c r="H189" s="56"/>
      <c r="I189" s="56"/>
      <c r="J189" s="56"/>
    </row>
    <row r="190" spans="1:10" ht="12">
      <c r="A190" s="58" t="str">
        <f>IF(INDEX(B190:J190,Data!$K$4)="","",INDEX(B190:J190,Data!$K$4))</f>
        <v>Compressibiliteit</v>
      </c>
      <c r="B190" s="170" t="s">
        <v>101</v>
      </c>
      <c r="C190" s="170" t="s">
        <v>335</v>
      </c>
      <c r="D190" s="170" t="s">
        <v>472</v>
      </c>
      <c r="E190" s="171" t="s">
        <v>652</v>
      </c>
      <c r="F190" s="56" t="s">
        <v>797</v>
      </c>
      <c r="G190" s="56" t="s">
        <v>974</v>
      </c>
      <c r="H190" s="56"/>
      <c r="I190" s="56"/>
      <c r="J190" s="56"/>
    </row>
    <row r="191" spans="1:10" ht="22.5">
      <c r="A191" s="58" t="str">
        <f>IF(INDEX(B191:J191,Data!$K$4)="","",INDEX(B191:J191,Data!$K$4))</f>
        <v>Molair volume op basis van compressibiliteit</v>
      </c>
      <c r="B191" s="170" t="s">
        <v>102</v>
      </c>
      <c r="C191" s="170" t="s">
        <v>336</v>
      </c>
      <c r="D191" s="170" t="s">
        <v>473</v>
      </c>
      <c r="E191" s="171" t="s">
        <v>653</v>
      </c>
      <c r="F191" s="56" t="s">
        <v>836</v>
      </c>
      <c r="G191" s="56" t="s">
        <v>975</v>
      </c>
      <c r="H191" s="56"/>
      <c r="I191" s="56"/>
      <c r="J191" s="56"/>
    </row>
    <row r="192" spans="1:10" ht="22.5">
      <c r="A192" s="58" t="str">
        <f>IF(INDEX(B192:J192,Data!$K$4)="","",INDEX(B192:J192,Data!$K$4))</f>
        <v>,,  ,, op individuele molaire volumes</v>
      </c>
      <c r="B192" s="170" t="s">
        <v>175</v>
      </c>
      <c r="C192" s="170" t="s">
        <v>337</v>
      </c>
      <c r="D192" s="170" t="s">
        <v>474</v>
      </c>
      <c r="E192" s="171" t="s">
        <v>654</v>
      </c>
      <c r="F192" s="56" t="s">
        <v>798</v>
      </c>
      <c r="G192" s="189" t="s">
        <v>1001</v>
      </c>
      <c r="H192" s="56"/>
      <c r="I192" s="56"/>
      <c r="J192" s="56"/>
    </row>
    <row r="193" spans="1:10" ht="12">
      <c r="A193" s="58" t="str">
        <f>IF(INDEX(B193:J193,Data!$K$4)="","",INDEX(B193:J193,Data!$K$4))</f>
        <v>Dichtheid</v>
      </c>
      <c r="B193" s="170" t="s">
        <v>103</v>
      </c>
      <c r="C193" s="170" t="s">
        <v>338</v>
      </c>
      <c r="D193" s="170" t="s">
        <v>475</v>
      </c>
      <c r="E193" s="171" t="s">
        <v>655</v>
      </c>
      <c r="F193" s="56" t="s">
        <v>799</v>
      </c>
      <c r="G193" s="56" t="s">
        <v>983</v>
      </c>
      <c r="H193" s="56"/>
      <c r="I193" s="56"/>
      <c r="J193" s="56"/>
    </row>
    <row r="194" spans="1:10" ht="12">
      <c r="A194" s="58" t="str">
        <f>IF(INDEX(B194:J194,Data!$K$4)="","",INDEX(B194:J194,Data!$K$4))</f>
        <v>Relatieve dichtheid</v>
      </c>
      <c r="B194" s="170" t="s">
        <v>104</v>
      </c>
      <c r="C194" s="170" t="s">
        <v>339</v>
      </c>
      <c r="D194" s="170" t="s">
        <v>476</v>
      </c>
      <c r="E194" s="171" t="s">
        <v>656</v>
      </c>
      <c r="F194" s="56" t="s">
        <v>800</v>
      </c>
      <c r="G194" s="56" t="s">
        <v>984</v>
      </c>
      <c r="H194" s="56"/>
      <c r="I194" s="56"/>
      <c r="J194" s="56"/>
    </row>
    <row r="195" spans="1:10" ht="12">
      <c r="A195" s="58" t="str">
        <f>IF(INDEX(B195:J195,Data!$K$4)="","",INDEX(B195:J195,Data!$K$4))</f>
        <v>Stoichiometrisch verbranding</v>
      </c>
      <c r="B195" s="170" t="s">
        <v>105</v>
      </c>
      <c r="C195" s="170" t="s">
        <v>340</v>
      </c>
      <c r="D195" s="170" t="s">
        <v>478</v>
      </c>
      <c r="E195" s="171" t="s">
        <v>657</v>
      </c>
      <c r="F195" s="56" t="s">
        <v>801</v>
      </c>
      <c r="G195" s="56" t="s">
        <v>985</v>
      </c>
      <c r="H195" s="56"/>
      <c r="I195" s="56"/>
      <c r="J195" s="56"/>
    </row>
    <row r="196" spans="1:10" ht="12">
      <c r="A196" s="58" t="str">
        <f>IF(INDEX(B196:J196,Data!$K$4)="","",INDEX(B196:J196,Data!$K$4))</f>
        <v>Zuurstofverbruik (mol/mol)</v>
      </c>
      <c r="B196" s="170" t="s">
        <v>106</v>
      </c>
      <c r="C196" s="170" t="s">
        <v>341</v>
      </c>
      <c r="D196" s="170" t="s">
        <v>479</v>
      </c>
      <c r="E196" s="171" t="s">
        <v>658</v>
      </c>
      <c r="F196" s="56" t="s">
        <v>802</v>
      </c>
      <c r="G196" s="56" t="s">
        <v>986</v>
      </c>
      <c r="H196" s="56"/>
      <c r="I196" s="56"/>
      <c r="J196" s="56"/>
    </row>
    <row r="197" spans="1:10" ht="12">
      <c r="A197" s="58" t="str">
        <f>IF(INDEX(B197:J197,Data!$K$4)="","",INDEX(B197:J197,Data!$K$4))</f>
        <v>Zuurstofverbruik</v>
      </c>
      <c r="B197" s="170" t="s">
        <v>216</v>
      </c>
      <c r="C197" s="170" t="s">
        <v>342</v>
      </c>
      <c r="D197" s="170" t="s">
        <v>480</v>
      </c>
      <c r="E197" s="171" t="s">
        <v>659</v>
      </c>
      <c r="F197" s="56" t="s">
        <v>803</v>
      </c>
      <c r="G197" s="56" t="s">
        <v>987</v>
      </c>
      <c r="H197" s="56"/>
      <c r="I197" s="56"/>
      <c r="J197" s="56"/>
    </row>
    <row r="198" spans="1:10" ht="12">
      <c r="A198" s="58" t="str">
        <f>IF(INDEX(B198:J198,Data!$K$4)="","",INDEX(B198:J198,Data!$K$4))</f>
        <v>DIN1942</v>
      </c>
      <c r="B198" s="170" t="s">
        <v>212</v>
      </c>
      <c r="C198" s="170" t="s">
        <v>212</v>
      </c>
      <c r="D198" s="170" t="s">
        <v>212</v>
      </c>
      <c r="E198" s="171" t="s">
        <v>602</v>
      </c>
      <c r="F198" s="170" t="s">
        <v>212</v>
      </c>
      <c r="G198" s="170" t="s">
        <v>212</v>
      </c>
      <c r="H198" s="56"/>
      <c r="I198" s="56"/>
      <c r="J198" s="56"/>
    </row>
    <row r="199" spans="1:10" ht="12">
      <c r="A199" s="58" t="str">
        <f>IF(INDEX(B199:J199,Data!$K$4)="","",INDEX(B199:J199,Data!$K$4))</f>
        <v>samenstelling</v>
      </c>
      <c r="B199" s="170" t="s">
        <v>213</v>
      </c>
      <c r="C199" s="170" t="s">
        <v>343</v>
      </c>
      <c r="D199" s="170" t="s">
        <v>481</v>
      </c>
      <c r="E199" s="171" t="s">
        <v>601</v>
      </c>
      <c r="F199" s="56" t="s">
        <v>804</v>
      </c>
      <c r="G199" s="56" t="s">
        <v>1002</v>
      </c>
      <c r="H199" s="56"/>
      <c r="I199" s="56"/>
      <c r="J199" s="56"/>
    </row>
    <row r="200" spans="1:10" ht="12">
      <c r="A200" s="58" t="str">
        <f>IF(INDEX(B200:J200,Data!$K$4)="","",INDEX(B200:J200,Data!$K$4))</f>
        <v>mol C/kg</v>
      </c>
      <c r="B200" s="170" t="s">
        <v>25</v>
      </c>
      <c r="C200" s="170" t="s">
        <v>25</v>
      </c>
      <c r="D200" s="170" t="s">
        <v>25</v>
      </c>
      <c r="E200" s="174" t="s">
        <v>25</v>
      </c>
      <c r="F200" s="170" t="s">
        <v>25</v>
      </c>
      <c r="G200" s="170" t="s">
        <v>25</v>
      </c>
      <c r="H200" s="56"/>
      <c r="I200" s="56"/>
      <c r="J200" s="56"/>
    </row>
    <row r="201" spans="1:10" ht="12">
      <c r="A201" s="58" t="str">
        <f>IF(INDEX(B201:J201,Data!$K$4)="","",INDEX(B201:J201,Data!$K$4))</f>
        <v>mol H/kg</v>
      </c>
      <c r="B201" s="170" t="s">
        <v>26</v>
      </c>
      <c r="C201" s="170" t="s">
        <v>26</v>
      </c>
      <c r="D201" s="170" t="s">
        <v>26</v>
      </c>
      <c r="E201" s="174" t="s">
        <v>26</v>
      </c>
      <c r="F201" s="170" t="s">
        <v>26</v>
      </c>
      <c r="G201" s="170" t="s">
        <v>26</v>
      </c>
      <c r="H201" s="56"/>
      <c r="I201" s="56"/>
      <c r="J201" s="56"/>
    </row>
    <row r="202" spans="1:10" ht="12">
      <c r="A202" s="58" t="str">
        <f>IF(INDEX(B202:J202,Data!$K$4)="","",INDEX(B202:J202,Data!$K$4))</f>
        <v>mol N/kg</v>
      </c>
      <c r="B202" s="170" t="s">
        <v>27</v>
      </c>
      <c r="C202" s="170" t="s">
        <v>27</v>
      </c>
      <c r="D202" s="170" t="s">
        <v>27</v>
      </c>
      <c r="E202" s="174" t="s">
        <v>27</v>
      </c>
      <c r="F202" s="170" t="s">
        <v>27</v>
      </c>
      <c r="G202" s="170" t="s">
        <v>27</v>
      </c>
      <c r="H202" s="56"/>
      <c r="I202" s="56"/>
      <c r="J202" s="56"/>
    </row>
    <row r="203" spans="1:10" ht="12">
      <c r="A203" s="58" t="str">
        <f>IF(INDEX(B203:J203,Data!$K$4)="","",INDEX(B203:J203,Data!$K$4))</f>
        <v>mol S/kg</v>
      </c>
      <c r="B203" s="170" t="s">
        <v>28</v>
      </c>
      <c r="C203" s="170" t="s">
        <v>28</v>
      </c>
      <c r="D203" s="170" t="s">
        <v>28</v>
      </c>
      <c r="E203" s="174" t="s">
        <v>28</v>
      </c>
      <c r="F203" s="170" t="s">
        <v>28</v>
      </c>
      <c r="G203" s="170" t="s">
        <v>28</v>
      </c>
      <c r="H203" s="56"/>
      <c r="I203" s="56"/>
      <c r="J203" s="56"/>
    </row>
    <row r="204" spans="1:10" ht="12">
      <c r="A204" s="58" t="str">
        <f>IF(INDEX(B204:J204,Data!$K$4)="","",INDEX(B204:J204,Data!$K$4))</f>
        <v>mol O/kg</v>
      </c>
      <c r="B204" s="170" t="s">
        <v>29</v>
      </c>
      <c r="C204" s="170" t="s">
        <v>29</v>
      </c>
      <c r="D204" s="170" t="s">
        <v>29</v>
      </c>
      <c r="E204" s="171" t="s">
        <v>29</v>
      </c>
      <c r="F204" s="170" t="s">
        <v>29</v>
      </c>
      <c r="G204" s="170" t="s">
        <v>29</v>
      </c>
      <c r="H204" s="56"/>
      <c r="I204" s="56"/>
      <c r="J204" s="56"/>
    </row>
    <row r="205" spans="1:10" ht="12">
      <c r="A205" s="58" t="str">
        <f>IF(INDEX(B205:J205,Data!$K$4)="","",INDEX(B205:J205,Data!$K$4))</f>
        <v>C (gew%)</v>
      </c>
      <c r="B205" s="170" t="s">
        <v>108</v>
      </c>
      <c r="C205" s="170" t="s">
        <v>344</v>
      </c>
      <c r="D205" s="170" t="s">
        <v>482</v>
      </c>
      <c r="E205" s="171" t="s">
        <v>600</v>
      </c>
      <c r="F205" s="170" t="s">
        <v>805</v>
      </c>
      <c r="G205" s="56" t="s">
        <v>988</v>
      </c>
      <c r="H205" s="56"/>
      <c r="I205" s="56"/>
      <c r="J205" s="56"/>
    </row>
    <row r="206" spans="1:10" ht="12">
      <c r="A206" s="58" t="str">
        <f>IF(INDEX(B206:J206,Data!$K$4)="","",INDEX(B206:J206,Data!$K$4))</f>
        <v>H (gew%)</v>
      </c>
      <c r="B206" s="170" t="s">
        <v>109</v>
      </c>
      <c r="C206" s="170" t="s">
        <v>345</v>
      </c>
      <c r="D206" s="170" t="s">
        <v>483</v>
      </c>
      <c r="E206" s="171" t="s">
        <v>599</v>
      </c>
      <c r="F206" s="170" t="s">
        <v>806</v>
      </c>
      <c r="G206" s="56" t="s">
        <v>989</v>
      </c>
      <c r="H206" s="56"/>
      <c r="I206" s="56"/>
      <c r="J206" s="56"/>
    </row>
    <row r="207" spans="1:10" ht="12">
      <c r="A207" s="58" t="str">
        <f>IF(INDEX(B207:J207,Data!$K$4)="","",INDEX(B207:J207,Data!$K$4))</f>
        <v>N (gew%)</v>
      </c>
      <c r="B207" s="170" t="s">
        <v>110</v>
      </c>
      <c r="C207" s="170" t="s">
        <v>346</v>
      </c>
      <c r="D207" s="170" t="s">
        <v>484</v>
      </c>
      <c r="E207" s="171" t="s">
        <v>598</v>
      </c>
      <c r="F207" s="170" t="s">
        <v>807</v>
      </c>
      <c r="G207" s="56" t="s">
        <v>990</v>
      </c>
      <c r="H207" s="56"/>
      <c r="I207" s="56"/>
      <c r="J207" s="56"/>
    </row>
    <row r="208" spans="1:10" ht="12">
      <c r="A208" s="58" t="str">
        <f>IF(INDEX(B208:J208,Data!$K$4)="","",INDEX(B208:J208,Data!$K$4))</f>
        <v>S (gew%)</v>
      </c>
      <c r="B208" s="170" t="s">
        <v>112</v>
      </c>
      <c r="C208" s="170" t="s">
        <v>347</v>
      </c>
      <c r="D208" s="170" t="s">
        <v>485</v>
      </c>
      <c r="E208" s="171" t="s">
        <v>597</v>
      </c>
      <c r="F208" s="170" t="s">
        <v>808</v>
      </c>
      <c r="G208" s="56" t="s">
        <v>991</v>
      </c>
      <c r="H208" s="56"/>
      <c r="I208" s="56"/>
      <c r="J208" s="56"/>
    </row>
    <row r="209" spans="1:10" ht="12">
      <c r="A209" s="58" t="str">
        <f>IF(INDEX(B209:J209,Data!$K$4)="","",INDEX(B209:J209,Data!$K$4))</f>
        <v>As (gew%)</v>
      </c>
      <c r="B209" s="170" t="s">
        <v>113</v>
      </c>
      <c r="C209" s="170" t="s">
        <v>355</v>
      </c>
      <c r="D209" s="170" t="s">
        <v>486</v>
      </c>
      <c r="E209" s="171" t="s">
        <v>660</v>
      </c>
      <c r="F209" s="170" t="s">
        <v>809</v>
      </c>
      <c r="G209" s="56" t="s">
        <v>992</v>
      </c>
      <c r="H209" s="56"/>
      <c r="I209" s="56"/>
      <c r="J209" s="56"/>
    </row>
    <row r="210" spans="1:10" ht="12">
      <c r="A210" s="58" t="str">
        <f>IF(INDEX(B210:J210,Data!$K$4)="","",INDEX(B210:J210,Data!$K$4))</f>
        <v>O (gew%)</v>
      </c>
      <c r="B210" s="170" t="s">
        <v>111</v>
      </c>
      <c r="C210" s="170" t="s">
        <v>348</v>
      </c>
      <c r="D210" s="170" t="s">
        <v>487</v>
      </c>
      <c r="E210" s="171" t="s">
        <v>596</v>
      </c>
      <c r="F210" s="170" t="s">
        <v>810</v>
      </c>
      <c r="G210" s="56" t="s">
        <v>993</v>
      </c>
      <c r="H210" s="56"/>
      <c r="I210" s="56"/>
      <c r="J210" s="56"/>
    </row>
    <row r="211" spans="1:10" ht="12">
      <c r="A211" s="58" t="str">
        <f>IF(INDEX(B211:J211,Data!$K$4)="","",INDEX(B211:J211,Data!$K$4))</f>
        <v>C (gew%,droog)</v>
      </c>
      <c r="B211" s="170" t="s">
        <v>151</v>
      </c>
      <c r="C211" s="170" t="s">
        <v>349</v>
      </c>
      <c r="D211" s="170" t="s">
        <v>488</v>
      </c>
      <c r="E211" s="171" t="s">
        <v>595</v>
      </c>
      <c r="F211" s="170" t="s">
        <v>811</v>
      </c>
      <c r="G211" s="56" t="s">
        <v>994</v>
      </c>
      <c r="H211" s="56"/>
      <c r="I211" s="56"/>
      <c r="J211" s="56"/>
    </row>
    <row r="212" spans="1:10" ht="12">
      <c r="A212" s="58" t="str">
        <f>IF(INDEX(B212:J212,Data!$K$4)="","",INDEX(B212:J212,Data!$K$4))</f>
        <v>H (gew%,droog)</v>
      </c>
      <c r="B212" s="170" t="s">
        <v>152</v>
      </c>
      <c r="C212" s="170" t="s">
        <v>350</v>
      </c>
      <c r="D212" s="170" t="s">
        <v>489</v>
      </c>
      <c r="E212" s="171" t="s">
        <v>594</v>
      </c>
      <c r="F212" s="170" t="s">
        <v>812</v>
      </c>
      <c r="G212" s="56" t="s">
        <v>995</v>
      </c>
      <c r="H212" s="56"/>
      <c r="I212" s="56"/>
      <c r="J212" s="56"/>
    </row>
    <row r="213" spans="1:10" ht="12">
      <c r="A213" s="58" t="str">
        <f>IF(INDEX(B213:J213,Data!$K$4)="","",INDEX(B213:J213,Data!$K$4))</f>
        <v>N (gew%,droog)</v>
      </c>
      <c r="B213" s="170" t="s">
        <v>153</v>
      </c>
      <c r="C213" s="170" t="s">
        <v>351</v>
      </c>
      <c r="D213" s="170" t="s">
        <v>490</v>
      </c>
      <c r="E213" s="171" t="s">
        <v>593</v>
      </c>
      <c r="F213" s="170" t="s">
        <v>813</v>
      </c>
      <c r="G213" s="56" t="s">
        <v>996</v>
      </c>
      <c r="H213" s="56"/>
      <c r="I213" s="56"/>
      <c r="J213" s="56"/>
    </row>
    <row r="214" spans="1:10" ht="12">
      <c r="A214" s="58" t="str">
        <f>IF(INDEX(B214:J214,Data!$K$4)="","",INDEX(B214:J214,Data!$K$4))</f>
        <v>S (gew%,droog)</v>
      </c>
      <c r="B214" s="170" t="s">
        <v>154</v>
      </c>
      <c r="C214" s="170" t="s">
        <v>352</v>
      </c>
      <c r="D214" s="170" t="s">
        <v>491</v>
      </c>
      <c r="E214" s="171" t="s">
        <v>592</v>
      </c>
      <c r="F214" s="170" t="s">
        <v>814</v>
      </c>
      <c r="G214" s="56" t="s">
        <v>997</v>
      </c>
      <c r="H214" s="56"/>
      <c r="I214" s="56"/>
      <c r="J214" s="56"/>
    </row>
    <row r="215" spans="1:10" ht="12">
      <c r="A215" s="58" t="str">
        <f>IF(INDEX(B215:J215,Data!$K$4)="","",INDEX(B215:J215,Data!$K$4))</f>
        <v>O (gew% droog)</v>
      </c>
      <c r="B215" s="170" t="s">
        <v>114</v>
      </c>
      <c r="C215" s="170" t="s">
        <v>353</v>
      </c>
      <c r="D215" s="170" t="s">
        <v>492</v>
      </c>
      <c r="E215" s="171" t="s">
        <v>591</v>
      </c>
      <c r="F215" s="170" t="s">
        <v>815</v>
      </c>
      <c r="G215" s="56" t="s">
        <v>998</v>
      </c>
      <c r="H215" s="56"/>
      <c r="I215" s="56"/>
      <c r="J215" s="56"/>
    </row>
    <row r="216" spans="1:10" ht="12">
      <c r="A216" s="58" t="str">
        <f>IF(INDEX(B216:J216,Data!$K$4)="","",INDEX(B216:J216,Data!$K$4))</f>
        <v>As (gew% droog)</v>
      </c>
      <c r="B216" s="170" t="s">
        <v>116</v>
      </c>
      <c r="C216" s="170" t="s">
        <v>354</v>
      </c>
      <c r="D216" s="170" t="s">
        <v>494</v>
      </c>
      <c r="E216" s="171" t="s">
        <v>661</v>
      </c>
      <c r="F216" s="56" t="s">
        <v>816</v>
      </c>
      <c r="G216" s="56" t="s">
        <v>999</v>
      </c>
      <c r="H216" s="56"/>
      <c r="I216" s="56"/>
      <c r="J216" s="56"/>
    </row>
    <row r="217" spans="1:10" ht="12">
      <c r="A217" s="58" t="str">
        <f>IF(INDEX(B217:J217,Data!$K$4)="","",INDEX(B217:J217,Data!$K$4))</f>
        <v>Rookgasdebiet</v>
      </c>
      <c r="B217" s="56" t="s">
        <v>1033</v>
      </c>
      <c r="C217" s="56" t="s">
        <v>1034</v>
      </c>
      <c r="D217" s="170" t="s">
        <v>1035</v>
      </c>
      <c r="E217" s="171" t="s">
        <v>1036</v>
      </c>
      <c r="F217" s="56" t="s">
        <v>1037</v>
      </c>
      <c r="G217" s="56" t="s">
        <v>1038</v>
      </c>
      <c r="H217" s="56"/>
      <c r="I217" s="56"/>
      <c r="J217" s="56"/>
    </row>
    <row r="218" spans="1:10" ht="12">
      <c r="A218" s="58" t="str">
        <f>IF(INDEX(B218:J218,Data!$K$4)="","",INDEX(B218:J218,Data!$K$4))</f>
        <v>Vochtgehalte</v>
      </c>
      <c r="B218" s="170" t="s">
        <v>115</v>
      </c>
      <c r="C218" s="170" t="s">
        <v>356</v>
      </c>
      <c r="D218" s="170" t="s">
        <v>493</v>
      </c>
      <c r="E218" s="171" t="s">
        <v>662</v>
      </c>
      <c r="F218" s="56" t="s">
        <v>817</v>
      </c>
      <c r="G218" s="56" t="s">
        <v>1000</v>
      </c>
      <c r="H218" s="56"/>
      <c r="I218" s="56"/>
      <c r="J218" s="56"/>
    </row>
    <row r="219" spans="1:10" ht="12">
      <c r="A219" s="58" t="str">
        <f>IF(INDEX(B219:J219,Data!$K$4)="",B219,INDEX(B219:J219,Data!$K$4))</f>
        <v>Temperatuur</v>
      </c>
      <c r="B219" s="170" t="s">
        <v>1031</v>
      </c>
      <c r="C219" s="170" t="s">
        <v>1032</v>
      </c>
      <c r="D219" s="170"/>
      <c r="E219" s="171"/>
      <c r="F219" s="56"/>
      <c r="G219" s="56"/>
      <c r="H219" s="56"/>
      <c r="I219" s="56"/>
      <c r="J219" s="56"/>
    </row>
    <row r="220" spans="1:7" ht="12">
      <c r="A220" s="58" t="str">
        <f>IF(INDEX(B220:J220,Data!$K$4)="",B220,INDEX(B220:J220,Data!$K$4))</f>
        <v>m3/s</v>
      </c>
      <c r="B220" s="170" t="s">
        <v>1039</v>
      </c>
      <c r="C220" s="170" t="s">
        <v>1039</v>
      </c>
      <c r="D220" s="170"/>
      <c r="E220" s="171"/>
      <c r="F220" s="56"/>
      <c r="G220" s="56"/>
    </row>
    <row r="221" spans="1:7" ht="12">
      <c r="A221" s="58" t="str">
        <f>IF(INDEX(B221:J221,Data!$K$4)="",B221,INDEX(B221:J221,Data!$K$4))</f>
        <v>Dwarsdoorsnede afgaskanaal</v>
      </c>
      <c r="B221" s="170" t="s">
        <v>1040</v>
      </c>
      <c r="C221" s="170" t="s">
        <v>1041</v>
      </c>
      <c r="D221" s="170"/>
      <c r="E221" s="171"/>
      <c r="F221" s="56"/>
      <c r="G221" s="56"/>
    </row>
    <row r="222" spans="1:3" ht="12">
      <c r="A222" s="58" t="str">
        <f>IF(INDEX(B222:J222,Data!$K$4)="",B222,INDEX(B222:J222,Data!$K$4))</f>
        <v>m2</v>
      </c>
      <c r="B222" s="170" t="s">
        <v>1042</v>
      </c>
      <c r="C222" s="170" t="s">
        <v>1042</v>
      </c>
    </row>
    <row r="223" spans="1:3" ht="12">
      <c r="A223" s="58" t="str">
        <f>IF(INDEX(B223:J223,Data!$K$4)="",B223,INDEX(B223:J223,Data!$K$4))</f>
        <v>berekend</v>
      </c>
      <c r="B223" s="54" t="s">
        <v>1043</v>
      </c>
      <c r="C223" s="54" t="s">
        <v>1044</v>
      </c>
    </row>
    <row r="224" spans="1:3" ht="12">
      <c r="A224" s="58" t="str">
        <f>IF(INDEX(B224:J224,Data!$K$4)="",B224,INDEX(B224:J224,Data!$K$4))</f>
        <v>Dauwpunt</v>
      </c>
      <c r="B224" s="54" t="s">
        <v>1045</v>
      </c>
      <c r="C224" s="54" t="s">
        <v>1046</v>
      </c>
    </row>
    <row r="225" spans="1:3" ht="12">
      <c r="A225" s="58" t="str">
        <f>IF(INDEX(B225:J225,Data!$K$4)="",B225,INDEX(B225:J225,Data!$K$4))</f>
        <v>Berekening van emissies</v>
      </c>
      <c r="B225" s="54" t="s">
        <v>1055</v>
      </c>
      <c r="C225" s="54" t="s">
        <v>1056</v>
      </c>
    </row>
    <row r="226" spans="1:3" ht="12">
      <c r="A226" s="58" t="str">
        <f>IF(INDEX(B226:J226,Data!$K$4)="",B226,INDEX(B226:J226,Data!$K$4))</f>
        <v>Wis invoer</v>
      </c>
      <c r="B226" s="54" t="s">
        <v>1059</v>
      </c>
      <c r="C226" s="54" t="s">
        <v>1060</v>
      </c>
    </row>
    <row r="227" spans="1:3" ht="12">
      <c r="A227" s="58" t="str">
        <f>IF(INDEX(B227:J227,Data!$K$4)="",B227,INDEX(B227:J227,Data!$K$4))</f>
        <v>Afgassnelheid</v>
      </c>
      <c r="B227" s="54" t="s">
        <v>1061</v>
      </c>
      <c r="C227" s="54" t="s">
        <v>1062</v>
      </c>
    </row>
    <row r="228" spans="1:3" ht="12">
      <c r="A228" s="58" t="str">
        <f>IF(INDEX(B228:J228,Data!$K$4)="",B228,INDEX(B228:J228,Data!$K$4))</f>
        <v>m/s</v>
      </c>
      <c r="B228" s="54" t="s">
        <v>1063</v>
      </c>
      <c r="C228" s="54" t="s">
        <v>1063</v>
      </c>
    </row>
    <row r="229" ht="12">
      <c r="A229" s="58">
        <f>IF(INDEX(B229:J229,Data!$K$4)="",B229,INDEX(B229:J229,Data!$K$4))</f>
        <v>0</v>
      </c>
    </row>
    <row r="230" ht="12">
      <c r="A230" s="58">
        <f>IF(INDEX(B230:J230,Data!$K$4)="",B230,INDEX(B230:J230,Data!$K$4))</f>
        <v>0</v>
      </c>
    </row>
    <row r="231" ht="12">
      <c r="A231" s="58">
        <f>IF(INDEX(B231:J231,Data!$K$4)="",B231,INDEX(B231:J231,Data!$K$4))</f>
        <v>0</v>
      </c>
    </row>
    <row r="232" ht="12">
      <c r="A232" s="58">
        <f>IF(INDEX(B232:J232,Data!$K$4)="",B232,INDEX(B232:J232,Data!$K$4))</f>
        <v>0</v>
      </c>
    </row>
    <row r="233" ht="12">
      <c r="A233" s="58">
        <f>IF(INDEX(B233:J233,Data!$K$4)="",B233,INDEX(B233:J233,Data!$K$4))</f>
        <v>0</v>
      </c>
    </row>
    <row r="234" ht="12">
      <c r="A234" s="58">
        <f>IF(INDEX(B234:J234,Data!$K$4)="",B234,INDEX(B234:J234,Data!$K$4))</f>
        <v>0</v>
      </c>
    </row>
    <row r="235" ht="12">
      <c r="A235" s="58">
        <f>IF(INDEX(B235:J235,Data!$K$4)="",B235,INDEX(B235:J235,Data!$K$4))</f>
        <v>0</v>
      </c>
    </row>
    <row r="236" ht="12">
      <c r="A236" s="58">
        <f>IF(INDEX(B236:J236,Data!$K$4)="",B236,INDEX(B236:J236,Data!$K$4))</f>
        <v>0</v>
      </c>
    </row>
    <row r="237" ht="12">
      <c r="A237" s="58">
        <f>IF(INDEX(B237:J237,Data!$K$4)="",B237,INDEX(B237:J237,Data!$K$4))</f>
        <v>0</v>
      </c>
    </row>
    <row r="238" ht="12">
      <c r="A238" s="58">
        <f>IF(INDEX(B238:J238,Data!$K$4)="",B238,INDEX(B238:J238,Data!$K$4))</f>
        <v>0</v>
      </c>
    </row>
    <row r="239" ht="12">
      <c r="A239" s="58">
        <f>IF(INDEX(B239:J239,Data!$K$4)="",B239,INDEX(B239:J239,Data!$K$4))</f>
        <v>0</v>
      </c>
    </row>
    <row r="240" ht="12">
      <c r="A240" s="58">
        <f>IF(INDEX(B240:J240,Data!$K$4)="",B240,INDEX(B240:J240,Data!$K$4))</f>
        <v>0</v>
      </c>
    </row>
    <row r="241" ht="12">
      <c r="A241" s="58">
        <f>IF(INDEX(B241:J241,Data!$K$4)="",B241,INDEX(B241:J241,Data!$K$4))</f>
        <v>0</v>
      </c>
    </row>
    <row r="242" ht="12">
      <c r="A242" s="58">
        <f>IF(INDEX(B242:J242,Data!$K$4)="",B242,INDEX(B242:J242,Data!$K$4))</f>
        <v>0</v>
      </c>
    </row>
    <row r="243" ht="12">
      <c r="A243" s="58">
        <f>IF(INDEX(B243:J243,Data!$K$4)="",B243,INDEX(B243:J243,Data!$K$4))</f>
        <v>0</v>
      </c>
    </row>
    <row r="244" ht="12">
      <c r="A244" s="58">
        <f>IF(INDEX(B244:J244,Data!$K$4)="",B244,INDEX(B244:J244,Data!$K$4))</f>
        <v>0</v>
      </c>
    </row>
    <row r="245" ht="12">
      <c r="A245" s="58">
        <f>IF(INDEX(B245:J245,Data!$K$4)="",B245,INDEX(B245:J245,Data!$K$4))</f>
        <v>0</v>
      </c>
    </row>
    <row r="246" ht="12">
      <c r="A246" s="58">
        <f>IF(INDEX(B246:J246,Data!$K$4)="",B246,INDEX(B246:J246,Data!$K$4))</f>
        <v>0</v>
      </c>
    </row>
    <row r="247" ht="12">
      <c r="A247" s="58">
        <f>IF(INDEX(B247:J247,Data!$K$4)="",B247,INDEX(B247:J247,Data!$K$4))</f>
        <v>0</v>
      </c>
    </row>
    <row r="248" ht="12">
      <c r="A248" s="58">
        <f>IF(INDEX(B248:J248,Data!$K$4)="",B248,INDEX(B248:J248,Data!$K$4))</f>
        <v>0</v>
      </c>
    </row>
    <row r="249" ht="12">
      <c r="A249" s="58">
        <f>IF(INDEX(B249:J249,Data!$K$4)="",B249,INDEX(B249:J249,Data!$K$4))</f>
        <v>0</v>
      </c>
    </row>
    <row r="250" ht="12">
      <c r="A250" s="58">
        <f>IF(INDEX(B250:J250,Data!$K$4)="",B250,INDEX(B250:J250,Data!$K$4))</f>
        <v>0</v>
      </c>
    </row>
    <row r="251" ht="12">
      <c r="A251" s="58">
        <f>IF(INDEX(B251:J251,Data!$K$4)="",B251,INDEX(B251:J251,Data!$K$4))</f>
        <v>0</v>
      </c>
    </row>
    <row r="252" ht="12">
      <c r="A252" s="58">
        <f>IF(INDEX(B252:J252,Data!$K$4)="",B252,INDEX(B252:J252,Data!$K$4))</f>
        <v>0</v>
      </c>
    </row>
  </sheetData>
  <sheetProtection password="8F37" sheet="1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A1"/>
  <sheetViews>
    <sheetView zoomScalePageLayoutView="0" workbookViewId="0" topLeftCell="A1">
      <selection activeCell="K13" sqref="K13"/>
    </sheetView>
  </sheetViews>
  <sheetFormatPr defaultColWidth="9.00390625" defaultRowHeight="12.75"/>
  <sheetData/>
  <sheetProtection password="8F37"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54"/>
  <sheetViews>
    <sheetView tabSelected="1" zoomScale="106" zoomScaleNormal="106" zoomScalePageLayoutView="0" workbookViewId="0" topLeftCell="A1">
      <selection activeCell="E2" sqref="E2:H2"/>
    </sheetView>
  </sheetViews>
  <sheetFormatPr defaultColWidth="0" defaultRowHeight="18" customHeight="1" zeroHeight="1"/>
  <cols>
    <col min="1" max="1" width="1.12109375" style="19" customWidth="1"/>
    <col min="2" max="2" width="14.375" style="19" customWidth="1"/>
    <col min="3" max="14" width="12.625" style="19" customWidth="1"/>
    <col min="15" max="15" width="1.12109375" style="19" customWidth="1"/>
    <col min="16" max="24" width="10.625" style="19" hidden="1" customWidth="1"/>
    <col min="25" max="16384" width="0" style="19" hidden="1" customWidth="1"/>
  </cols>
  <sheetData>
    <row r="1" ht="6.75" customHeight="1" thickBot="1">
      <c r="A1" s="16">
        <f ca="1">IF(OR(NOW()&gt;Data!B2,I2=""),0,1)</f>
        <v>1</v>
      </c>
    </row>
    <row r="2" spans="2:14" ht="34.5" customHeight="1" thickBot="1">
      <c r="B2" s="162" t="str">
        <f>language!A20</f>
        <v>Installatie/eenheid</v>
      </c>
      <c r="C2" s="238"/>
      <c r="D2" s="238"/>
      <c r="E2" s="315"/>
      <c r="F2" s="316"/>
      <c r="G2" s="316"/>
      <c r="H2" s="317"/>
      <c r="I2" s="302" t="str">
        <f>language!A2</f>
        <v>Validatietest voor emissies naar lucht</v>
      </c>
      <c r="J2" s="303"/>
      <c r="K2" s="303"/>
      <c r="L2" s="303"/>
      <c r="M2" s="303"/>
      <c r="N2" s="304"/>
    </row>
    <row r="3" spans="2:14" ht="18" customHeight="1">
      <c r="B3" s="93" t="str">
        <f>language!A21</f>
        <v>Type</v>
      </c>
      <c r="C3" s="239"/>
      <c r="D3" s="239"/>
      <c r="E3" s="152">
        <v>1</v>
      </c>
      <c r="F3" s="153"/>
      <c r="G3" s="153"/>
      <c r="H3" s="154"/>
      <c r="I3" s="307" t="str">
        <f>language!A10</f>
        <v>Taal</v>
      </c>
      <c r="J3" s="308"/>
      <c r="K3" s="155"/>
      <c r="L3" s="156"/>
      <c r="M3" s="309" t="str">
        <f ca="1">IF(NOW()&lt;=Data!B2,CONCATENATE(language!A4," ",Data!B1," : ",IF(language!A5="","",CONCATENATE(language!A5," ",DAY(Data!B2),"-",MONTH(Data!B2),"-",YEAR(Data!B2),".",CHAR(10))),language!A3),IF(language!A6="","",language!A6))</f>
        <v>Versie 2016 : Deze versie is te gebruiken tot  1-4-2020.
Ondanks de zorgvuldigheid waarmee dit werkblad is opgesteld, zijn fouten niet uit te sluiten.</v>
      </c>
      <c r="N3" s="310"/>
    </row>
    <row r="4" spans="2:14" ht="18" customHeight="1">
      <c r="B4" s="61" t="str">
        <f>language!A26</f>
        <v>Bedrijfsvoering</v>
      </c>
      <c r="C4" s="63"/>
      <c r="D4" s="63"/>
      <c r="E4" s="203">
        <v>1</v>
      </c>
      <c r="F4" s="201">
        <f>IF(A1=1,IF(ISNUMBER(H4),H4,INDEX(Data!C5:C9,'Emission data'!E4)),"")</f>
        <v>8760</v>
      </c>
      <c r="G4" s="200"/>
      <c r="H4" s="202"/>
      <c r="I4" s="169" t="str">
        <f>language!A98</f>
        <v>Menu</v>
      </c>
      <c r="J4" s="161" t="str">
        <f>language!A61</f>
        <v>Validatietest</v>
      </c>
      <c r="K4" s="161"/>
      <c r="L4" s="157"/>
      <c r="M4" s="311"/>
      <c r="N4" s="312"/>
    </row>
    <row r="5" spans="2:14" ht="18" customHeight="1">
      <c r="B5" s="61" t="str">
        <f>language!A22</f>
        <v>Thermisch vermogen</v>
      </c>
      <c r="C5" s="63"/>
      <c r="D5" s="63"/>
      <c r="E5" s="194">
        <f>IF(A1=1,IF(H5&lt;&gt;"",H5,IF(G5=899,0,(1+(G5-TRUNC(G5/900)*900)/100)*10^(TRUNC(G5/900)-2))),"")</f>
        <v>50</v>
      </c>
      <c r="F5" s="63" t="str">
        <f>language!A65</f>
        <v>MW</v>
      </c>
      <c r="G5" s="64">
        <v>3100</v>
      </c>
      <c r="H5" s="204"/>
      <c r="I5" s="158"/>
      <c r="J5" s="161" t="str">
        <f>language!A62</f>
        <v>Wijzig gegevens gasvormige brandstoffen</v>
      </c>
      <c r="K5" s="157"/>
      <c r="L5" s="205"/>
      <c r="M5" s="311"/>
      <c r="N5" s="312"/>
    </row>
    <row r="6" spans="2:14" ht="18" customHeight="1">
      <c r="B6" s="61" t="str">
        <f>language!A23</f>
        <v>Elektrisch rendement</v>
      </c>
      <c r="C6" s="63"/>
      <c r="D6" s="63"/>
      <c r="E6" s="65">
        <f>IF(A1=1,IF(H6&lt;&gt;"",H6,IF(OR(E3=1,E3=3,E3=8),0,G6)),"")</f>
        <v>0</v>
      </c>
      <c r="F6" s="63" t="str">
        <f>IF(A1=0,"","%")</f>
        <v>%</v>
      </c>
      <c r="G6" s="64">
        <v>40</v>
      </c>
      <c r="H6" s="204"/>
      <c r="I6" s="158"/>
      <c r="J6" s="161" t="str">
        <f>language!A63</f>
        <v>Wijzig gegevens vloeibare brandstoffen</v>
      </c>
      <c r="K6" s="157"/>
      <c r="L6" s="157"/>
      <c r="M6" s="311"/>
      <c r="N6" s="312"/>
    </row>
    <row r="7" spans="2:14" ht="18" customHeight="1">
      <c r="B7" s="61" t="str">
        <f>language!A24</f>
        <v>Elektrische belasting</v>
      </c>
      <c r="C7" s="63"/>
      <c r="D7" s="63"/>
      <c r="E7" s="62">
        <f>IF(A1=1,E6/100*E5,"")</f>
        <v>0</v>
      </c>
      <c r="F7" s="63" t="str">
        <f>language!A65</f>
        <v>MW</v>
      </c>
      <c r="G7" s="63"/>
      <c r="H7" s="66"/>
      <c r="I7" s="158"/>
      <c r="J7" s="212" t="str">
        <f>language!A64</f>
        <v>Wijzig gegevens vaste brandstoffen</v>
      </c>
      <c r="K7" s="211"/>
      <c r="L7" s="157"/>
      <c r="M7" s="311"/>
      <c r="N7" s="312"/>
    </row>
    <row r="8" spans="2:14" ht="18" customHeight="1" thickBot="1">
      <c r="B8" s="61" t="str">
        <f>IF(E8="","",language!A25)</f>
        <v>Max. stoomproductie</v>
      </c>
      <c r="C8" s="63"/>
      <c r="D8" s="63"/>
      <c r="E8" s="62">
        <f>IF(A1=1,IF(OR(E3=2,E3=4,E3=6),"",(E5-E7)*3600/2.3/1000),"")</f>
        <v>78.26086956521739</v>
      </c>
      <c r="F8" s="63" t="str">
        <f>IF(E8="","",language!A66)</f>
        <v>ton/uur</v>
      </c>
      <c r="G8" s="63"/>
      <c r="H8" s="66"/>
      <c r="I8" s="159"/>
      <c r="J8" s="212" t="str">
        <f>language!A226</f>
        <v>Wis invoer</v>
      </c>
      <c r="K8" s="160"/>
      <c r="L8" s="160"/>
      <c r="M8" s="313"/>
      <c r="N8" s="314"/>
    </row>
    <row r="9" spans="2:14" ht="18" customHeight="1">
      <c r="B9" s="32" t="str">
        <f>language!A27</f>
        <v>Brandstof</v>
      </c>
      <c r="C9" s="240"/>
      <c r="D9" s="240"/>
      <c r="E9" s="300">
        <v>1</v>
      </c>
      <c r="F9" s="305"/>
      <c r="G9" s="306">
        <f>IF(E9="","",IF(G10=1,"",E9+1))</f>
      </c>
      <c r="H9" s="306"/>
      <c r="I9" s="300">
        <f>IF(G9="","",IF(I10=1,"",G9+1))</f>
      </c>
      <c r="J9" s="305"/>
      <c r="K9" s="306">
        <f>IF(I9="","",IF(K10=1,"",I9+1))</f>
      </c>
      <c r="L9" s="306"/>
      <c r="M9" s="300" t="str">
        <f>language!A68</f>
        <v>Totaal</v>
      </c>
      <c r="N9" s="301"/>
    </row>
    <row r="10" spans="2:14" ht="18" customHeight="1">
      <c r="B10" s="61" t="str">
        <f>B3</f>
        <v>Type</v>
      </c>
      <c r="C10" s="63"/>
      <c r="D10" s="63"/>
      <c r="E10" s="70">
        <f>IF(A1=1,F10,1)</f>
        <v>1</v>
      </c>
      <c r="F10" s="71">
        <v>1</v>
      </c>
      <c r="G10" s="72">
        <f>IF(A1=1,H10,1)</f>
        <v>1</v>
      </c>
      <c r="H10" s="64">
        <v>1</v>
      </c>
      <c r="I10" s="70">
        <f>IF(A1=1,J10,1)</f>
        <v>1</v>
      </c>
      <c r="J10" s="71">
        <v>1</v>
      </c>
      <c r="K10" s="72">
        <f>IF(A1=1,L10,1)</f>
        <v>1</v>
      </c>
      <c r="L10" s="64">
        <v>1</v>
      </c>
      <c r="M10" s="70"/>
      <c r="N10" s="73"/>
    </row>
    <row r="11" spans="2:14" ht="18" customHeight="1">
      <c r="B11" s="61" t="str">
        <f>language!A33</f>
        <v>Berekeningsmethode</v>
      </c>
      <c r="C11" s="63"/>
      <c r="D11" s="63"/>
      <c r="E11" s="290">
        <f>IF(E10=1,"",INDEX(Data!$E$16:$E$31,'Emission data'!E10))</f>
      </c>
      <c r="F11" s="291"/>
      <c r="G11" s="293">
        <f>IF(G10=1,"",INDEX(Data!$E$16:$E$31,'Emission data'!G10))</f>
      </c>
      <c r="H11" s="293"/>
      <c r="I11" s="290">
        <f>IF(I10=1,"",INDEX(Data!$E$16:$E$31,'Emission data'!I10))</f>
      </c>
      <c r="J11" s="291"/>
      <c r="K11" s="293">
        <f>IF(K10=1,"",INDEX(Data!$E$16:$E$31,'Emission data'!K10))</f>
      </c>
      <c r="L11" s="293"/>
      <c r="M11" s="290"/>
      <c r="N11" s="292"/>
    </row>
    <row r="12" spans="2:14" ht="18" customHeight="1">
      <c r="B12" s="61" t="str">
        <f>language!A34</f>
        <v>Onderste verbrandingswaarde</v>
      </c>
      <c r="C12" s="63"/>
      <c r="D12" s="63"/>
      <c r="E12" s="74">
        <f>IF(E$10=1,"",INDEX(Data!$D$16:$D$31,'Emission data'!E$10))</f>
      </c>
      <c r="F12" s="75">
        <f>IF(E$10=1,"",IF(E$10&lt;7,language!$A$70,language!$A$72))</f>
      </c>
      <c r="G12" s="63">
        <f>IF(G$10=1,"",INDEX(Data!$D$16:$D$31,'Emission data'!G$10))</f>
      </c>
      <c r="H12" s="75">
        <f>IF(G$10=1,"",IF(G$10&lt;7,language!$A$70,language!$A$72))</f>
      </c>
      <c r="I12" s="74">
        <f>IF(I$10=1,"",INDEX(Data!$D$16:$D$31,'Emission data'!I$10))</f>
      </c>
      <c r="J12" s="75">
        <f>IF(I$10=1,"",IF(I$10&lt;7,language!$A$70,language!$A$72))</f>
      </c>
      <c r="K12" s="63">
        <f>IF(K$10=1,"",INDEX(Data!$D$16:$D$31,'Emission data'!K$10))</f>
      </c>
      <c r="L12" s="75">
        <f>IF(K$10=1,"",IF(K$10&lt;7,language!$A$70,language!$A$72))</f>
      </c>
      <c r="M12" s="74"/>
      <c r="N12" s="66"/>
    </row>
    <row r="13" spans="2:14" ht="18" customHeight="1" hidden="1">
      <c r="B13" s="61" t="str">
        <f>CONCATENATE(language!A38,"-",LOWER(language!A56))</f>
        <v>SO2-emissie</v>
      </c>
      <c r="C13" s="63"/>
      <c r="D13" s="63"/>
      <c r="E13" s="74">
        <f>IF(E$10=1,"",INDEX(Data!$L$16:$L$31,'Emission data'!E$10))</f>
      </c>
      <c r="F13" s="75">
        <f>IF(E$10=1,"",language!$A$76)</f>
      </c>
      <c r="G13" s="74">
        <f>IF(G$10=1,"",INDEX(Data!$L$16:$L$31,'Emission data'!G$10))</f>
      </c>
      <c r="H13" s="75">
        <f>IF(G$10=1,"",language!$A$76)</f>
      </c>
      <c r="I13" s="74">
        <f>IF(I$10=1,"",INDEX(Data!$L$16:$L$31,'Emission data'!I$10))</f>
      </c>
      <c r="J13" s="75">
        <f>IF(I$10=1,"",language!$A$76)</f>
      </c>
      <c r="K13" s="74">
        <f>IF(K$10=1,"",INDEX(Data!$L$16:$L$31,'Emission data'!K$10))</f>
      </c>
      <c r="L13" s="75">
        <f>IF(K$10=1,"",language!$A$76)</f>
      </c>
      <c r="M13" s="74"/>
      <c r="N13" s="66"/>
    </row>
    <row r="14" spans="2:14" ht="18" customHeight="1" hidden="1">
      <c r="B14" s="61" t="str">
        <f>CONCATENATE(language!A39,"-",LOWER(language!A56))</f>
        <v>CO2-emissie</v>
      </c>
      <c r="C14" s="63"/>
      <c r="D14" s="63"/>
      <c r="E14" s="74">
        <f>IF(E$10=1,"",INDEX(Data!$F$16:$F$31,'Emission data'!E$10))</f>
      </c>
      <c r="F14" s="75">
        <f>IF(E$10=1,"",language!$A$76)</f>
      </c>
      <c r="G14" s="63">
        <f>IF(G$10=1,"",INDEX(Data!$F$16:$F$31,'Emission data'!G$10))</f>
      </c>
      <c r="H14" s="75">
        <f>IF(G$10=1,"",language!$A$76)</f>
      </c>
      <c r="I14" s="74">
        <f>IF(I$10=1,"",INDEX(Data!$F$16:$F$31,'Emission data'!I$10))</f>
      </c>
      <c r="J14" s="75">
        <f>IF(I$10=1,"",language!$A$76)</f>
      </c>
      <c r="K14" s="63">
        <f>IF(K$10=1,"",INDEX(Data!$F$16:$F$31,'Emission data'!K$10))</f>
      </c>
      <c r="L14" s="75">
        <f>IF(K$10=1,"",language!$A$76)</f>
      </c>
      <c r="M14" s="74"/>
      <c r="N14" s="66"/>
    </row>
    <row r="15" spans="2:14" ht="18" customHeight="1">
      <c r="B15" s="76" t="str">
        <f>language!A44</f>
        <v>Stoichiometrisch rookgasvolume (droog)</v>
      </c>
      <c r="C15" s="79"/>
      <c r="D15" s="79"/>
      <c r="E15" s="77">
        <f>IF(E$10=1,"",INDEX(Data!$G$16:$G$31,'Emission data'!E$10))</f>
      </c>
      <c r="F15" s="78">
        <f>IF(E$10=1,"",IF(E$10&lt;7,language!$A$80,language!$A$81))</f>
      </c>
      <c r="G15" s="79">
        <f>IF(G$10=1,"",INDEX(Data!$G$16:$G$31,'Emission data'!G$10))</f>
      </c>
      <c r="H15" s="78">
        <f>IF(G$10=1,"",IF(G$10&lt;7,language!$A$80,language!$A$81))</f>
      </c>
      <c r="I15" s="77">
        <f>IF(I$10=1,"",INDEX(Data!$G$16:$G$31,'Emission data'!I$10))</f>
      </c>
      <c r="J15" s="78">
        <f>IF(I$10=1,"",IF(I$10&lt;7,language!$A$80,language!$A$81))</f>
      </c>
      <c r="K15" s="79">
        <f>IF(K$10=1,"",INDEX(Data!$G$16:$G$31,'Emission data'!K$10))</f>
      </c>
      <c r="L15" s="78">
        <f>IF(K$10=1,"",IF(K$10&lt;7,language!$A$80,language!$A$81))</f>
      </c>
      <c r="M15" s="80">
        <f>IF(OR($A$1=0,$G$29=""),"",(IF(E$22="",0,E$19*E15)+IF(G20="",0,G$19*G15)+IF(I20="",0,I$19*I15)+IF(K20="",0,K$19*K15)))</f>
        <v>0</v>
      </c>
      <c r="N15" s="81" t="str">
        <f>IF(G29="","",language!A82)</f>
        <v>Nm3/jaar</v>
      </c>
    </row>
    <row r="16" spans="2:14" ht="18" customHeight="1" hidden="1">
      <c r="B16" s="76" t="str">
        <f>CONCATENATE(language!A45," (",language!A47,")")</f>
        <v>Stoichiometrisch rookgasvolume (nat)</v>
      </c>
      <c r="C16" s="79"/>
      <c r="D16" s="79"/>
      <c r="E16" s="77">
        <f>IF(E$10=1,"",INDEX(Data!$M$16:$M$31,'Emission data'!E$10))</f>
      </c>
      <c r="F16" s="78">
        <f>IF(E$10=1,"",IF(E$10&lt;7,language!$A$80,language!$A$81))</f>
      </c>
      <c r="G16" s="77">
        <f>IF(G$10=1,"",INDEX(Data!$M$16:$M$31,'Emission data'!G$10))</f>
      </c>
      <c r="H16" s="78">
        <f>IF(G$10=1,"",IF(G$10&lt;7,language!$A$80,language!$A$81))</f>
      </c>
      <c r="I16" s="77">
        <f>IF(I$10=1,"",INDEX(Data!$M$16:$M$31,'Emission data'!I$10))</f>
      </c>
      <c r="J16" s="78">
        <f>IF(I$10=1,"",IF(I$10&lt;7,language!$A$80,language!$A$81))</f>
      </c>
      <c r="K16" s="77">
        <f>IF(K$10=1,"",INDEX(Data!$M$16:$M$31,'Emission data'!K$10))</f>
      </c>
      <c r="L16" s="78">
        <f>IF(K$10=1,"",IF(K$10&lt;7,language!$A$80,language!$A$81))</f>
      </c>
      <c r="M16" s="80">
        <f>IF(OR($A$1=0,$G$29=""),"",(IF(E$22="",0,E$19*E16)+IF(G22="",0,G$19*G16)+IF(I22="",0,I$19*I16)+IF(K22="",0,K$19*K16)))</f>
        <v>0</v>
      </c>
      <c r="N16" s="81" t="str">
        <f>IF(G29="","",language!A82)</f>
        <v>Nm3/jaar</v>
      </c>
    </row>
    <row r="17" spans="2:14" ht="18" customHeight="1">
      <c r="B17" s="61" t="str">
        <f>language!A48</f>
        <v>Toepassing</v>
      </c>
      <c r="C17" s="63"/>
      <c r="D17" s="63"/>
      <c r="E17" s="82">
        <v>1</v>
      </c>
      <c r="F17" s="75"/>
      <c r="G17" s="64">
        <v>1</v>
      </c>
      <c r="H17" s="63"/>
      <c r="I17" s="82">
        <v>1</v>
      </c>
      <c r="J17" s="75"/>
      <c r="K17" s="64">
        <v>1</v>
      </c>
      <c r="L17" s="63"/>
      <c r="M17" s="82"/>
      <c r="N17" s="66"/>
    </row>
    <row r="18" spans="2:14" ht="18" customHeight="1">
      <c r="B18" s="61" t="str">
        <f>language!A49</f>
        <v>Verbruik</v>
      </c>
      <c r="C18" s="63"/>
      <c r="D18" s="63"/>
      <c r="E18" s="82">
        <v>999</v>
      </c>
      <c r="F18" s="277"/>
      <c r="G18" s="82">
        <v>900</v>
      </c>
      <c r="H18" s="277"/>
      <c r="I18" s="82">
        <v>900</v>
      </c>
      <c r="J18" s="277"/>
      <c r="K18" s="82">
        <v>900</v>
      </c>
      <c r="L18" s="277"/>
      <c r="M18" s="82"/>
      <c r="N18" s="66"/>
    </row>
    <row r="19" spans="2:14" ht="18" customHeight="1">
      <c r="B19" s="61"/>
      <c r="C19" s="63"/>
      <c r="D19" s="63"/>
      <c r="E19" s="83">
        <f>IF(E10=1,"",IF(F18="",E18/1000*E5/E12*3600*IF(ISNUMBER(H4),H4,IF(E4=5,500,INDEX(Data!C5:C9,'Emission data'!E4))),F18)*IF(E17=2,-1,1))</f>
      </c>
      <c r="F19" s="75">
        <f>IF(E$10=1,"",IF(E$10&lt;7,language!$A$82,language!$A$83))</f>
      </c>
      <c r="G19" s="83">
        <f>IF(G10=1,"",IF(H18="",(1+(G18-TRUNC(G18/900)*900)/100)*10^(TRUNC(G18/900)+1),H18)*IF(G17=2,-1,1))</f>
      </c>
      <c r="H19" s="75">
        <f>IF(G$10=1,"",IF(G$10&lt;7,language!$A$82,language!$A$83))</f>
      </c>
      <c r="I19" s="83">
        <f>IF(I10=1,"",IF(J18="",(1+(I18-TRUNC(I18/900)*900)/100)*10^(TRUNC(I18/900)+1),J18)*IF(I17=2,-1,1))</f>
      </c>
      <c r="J19" s="75">
        <f>IF(I$10=1,"",IF(I$10&lt;7,language!$A$82,language!$A$83))</f>
      </c>
      <c r="K19" s="83">
        <f>IF(K10=1,"",IF(L18="",(1+(K18-TRUNC(K18/900)*900)/100)*10^(TRUNC(K18/900)+1),L18)*IF(K17=2,-1,1))</f>
      </c>
      <c r="L19" s="75">
        <f>IF(K$10=1,"",IF(K$10&lt;7,language!$A$82,language!$A$83))</f>
      </c>
      <c r="M19" s="83"/>
      <c r="N19" s="66"/>
    </row>
    <row r="20" spans="2:14" ht="18" customHeight="1">
      <c r="B20" s="61"/>
      <c r="C20" s="63"/>
      <c r="D20" s="63"/>
      <c r="E20" s="83">
        <f>IF(OR(E10=1,$F$4=0,$F$4=""),"",IF(F18&lt;&gt;"",F18/$F$4,E19/$F$4))</f>
      </c>
      <c r="F20" s="75">
        <f>IF(OR(E$10=1,E20=""),"",IF(E$10&lt;7,language!$A$84,language!$A$85))</f>
      </c>
      <c r="G20" s="83">
        <f>IF(OR(G10=1,$F$4=0,$F$4=""),"",IF(H18&lt;&gt;"",H18/$F$4,G19/$F$4))</f>
      </c>
      <c r="H20" s="75">
        <f>IF(OR(G$10=1,G20=""),"",IF(G$10&lt;7,language!$A$84,language!$A$85))</f>
      </c>
      <c r="I20" s="83">
        <f>IF(OR(I10=1,$F$4=0,$F$4=""),"",IF(J18&lt;&gt;"",J18/$F$4,I19/$F$4))</f>
      </c>
      <c r="J20" s="75">
        <f>IF(OR(I$10=1,I20=""),"",IF(I$10&lt;7,language!$A$84,language!$A$85))</f>
      </c>
      <c r="K20" s="83">
        <f>IF(OR(K10=1,$F$4=0,$F$4=""),"",IF(L18&lt;&gt;"",L18/$F$4,K19/$F$4))</f>
      </c>
      <c r="L20" s="75">
        <f>IF(OR(K$10=1,K20=""),"",IF(K$10&lt;7,language!$A$84,language!$A$85))</f>
      </c>
      <c r="M20" s="83"/>
      <c r="N20" s="66"/>
    </row>
    <row r="21" spans="2:14" ht="18" customHeight="1">
      <c r="B21" s="61" t="str">
        <f>IF(Data!N4=TRUE(),B28,B26)</f>
        <v>CO2-emissie</v>
      </c>
      <c r="C21" s="63"/>
      <c r="D21" s="63"/>
      <c r="E21" s="83">
        <f>IF(Data!Q4=TRUE(),E28,E26)</f>
      </c>
      <c r="F21" s="75">
        <f>IF(Data!R4=TRUE(),F28,F26)</f>
      </c>
      <c r="G21" s="83">
        <f>IF(Data!S4=TRUE(),G28,G26)</f>
      </c>
      <c r="H21" s="75">
        <f>IF(Data!T4=TRUE(),H28,H26)</f>
      </c>
      <c r="I21" s="83">
        <f>IF(Data!U4=TRUE(),I28,I26)</f>
      </c>
      <c r="J21" s="75">
        <f>IF(Data!V4=TRUE(),J28,J26)</f>
      </c>
      <c r="K21" s="83">
        <f>IF(Data!W4=TRUE(),K28,K26)</f>
      </c>
      <c r="L21" s="75">
        <f>IF(Data!X4=TRUE(),L28,L26)</f>
      </c>
      <c r="M21" s="83">
        <f>IF(Data!Y4=TRUE(),M28,M26)</f>
        <v>0</v>
      </c>
      <c r="N21" s="66" t="str">
        <f>IF(Data!Z4=TRUE(),N28,N26)</f>
        <v>kton/jaar</v>
      </c>
    </row>
    <row r="22" spans="2:14" ht="18" customHeight="1">
      <c r="B22" s="61" t="str">
        <f>language!A50</f>
        <v>Energieverbruik</v>
      </c>
      <c r="C22" s="63"/>
      <c r="D22" s="63"/>
      <c r="E22" s="83">
        <f>IF(E19="","",E19*E12/1000000)</f>
      </c>
      <c r="F22" s="75">
        <f>IF(E19="","",language!$A$87)</f>
      </c>
      <c r="G22" s="83">
        <f>IF(G19="","",G19*G12/1000000)</f>
      </c>
      <c r="H22" s="75">
        <f>IF(G19="","",language!$A$87)</f>
      </c>
      <c r="I22" s="83">
        <f>IF(I19="","",I19*I12/1000000)</f>
      </c>
      <c r="J22" s="75">
        <f>IF(I19="","",language!$A$87)</f>
      </c>
      <c r="K22" s="83">
        <f>IF(K19="","",K19*K12/1000000)</f>
      </c>
      <c r="L22" s="75">
        <f>IF(K19="","",language!$A$87)</f>
      </c>
      <c r="M22" s="83">
        <f>IF(A1=1,(IF('Emission data'!E22="",0,'Emission data'!E22)+IF('Emission data'!G22="",0,'Emission data'!G22)+IF('Emission data'!I22="",0,'Emission data'!I22)+IF('Emission data'!K22="",0,'Emission data'!K22)),"")</f>
        <v>0</v>
      </c>
      <c r="N22" s="66" t="str">
        <f>language!A87</f>
        <v>TJ/jaar</v>
      </c>
    </row>
    <row r="23" spans="2:14" ht="18" customHeight="1" thickBot="1">
      <c r="B23" s="76" t="str">
        <f>language!A51</f>
        <v>Gemiddelde belasting</v>
      </c>
      <c r="C23" s="79"/>
      <c r="D23" s="79"/>
      <c r="E23" s="80"/>
      <c r="F23" s="79"/>
      <c r="G23" s="80"/>
      <c r="H23" s="79"/>
      <c r="I23" s="80"/>
      <c r="J23" s="79"/>
      <c r="K23" s="80"/>
      <c r="L23" s="79"/>
      <c r="M23" s="85">
        <f>IF(OR(A1=0,E5=0,F4=0,F4=""),"",ROUND((M22*1000000/3600/F4/E5*100),0))</f>
        <v>0</v>
      </c>
      <c r="N23" s="81" t="str">
        <f>IF(M23="","","%")</f>
        <v>%</v>
      </c>
    </row>
    <row r="24" spans="2:14" ht="18" customHeight="1" hidden="1">
      <c r="B24" s="206" t="str">
        <f>B13</f>
        <v>SO2-emissie</v>
      </c>
      <c r="C24" s="208"/>
      <c r="D24" s="208"/>
      <c r="E24" s="207">
        <f>IF(E19="","",E22*E13)</f>
      </c>
      <c r="F24" s="208">
        <f>IF(E19="","",language!$A$89)</f>
      </c>
      <c r="G24" s="207">
        <f>IF(G19="","",G22*G13)</f>
      </c>
      <c r="H24" s="208">
        <f>IF(G19="","",language!$A$89)</f>
      </c>
      <c r="I24" s="207">
        <f>IF(I19="","",I22*I13)</f>
      </c>
      <c r="J24" s="208">
        <f>IF(I19="","",language!$A$89)</f>
      </c>
      <c r="K24" s="207">
        <f>IF(K19="","",K22*K13)</f>
      </c>
      <c r="L24" s="208">
        <f>IF(K19="","",language!$A$89)</f>
      </c>
      <c r="M24" s="209">
        <f>IF(A1=1,(IF(E24="",0,E24)+IF(G24="",0,G24)+IF(I24="",0,I24)+IF(K24="",0,K24)),"")</f>
        <v>0</v>
      </c>
      <c r="N24" s="210" t="str">
        <f>IF(M24="","",language!A89)</f>
        <v>ton/jaar</v>
      </c>
    </row>
    <row r="25" spans="2:14" ht="18" customHeight="1" hidden="1">
      <c r="B25" s="76"/>
      <c r="C25" s="79"/>
      <c r="D25" s="79"/>
      <c r="E25" s="80">
        <f>IF(E20="","",E20*E12*E13/1000)</f>
      </c>
      <c r="F25" s="79">
        <f>IF(E25="","",language!$A$85)</f>
      </c>
      <c r="G25" s="80">
        <f>IF(G20="","",G20*G12*G13/1000)</f>
      </c>
      <c r="H25" s="79">
        <f>IF(G25="","",language!$A$85)</f>
      </c>
      <c r="I25" s="80">
        <f>IF(I20="","",I20*I12*I13/1000)</f>
      </c>
      <c r="J25" s="79">
        <f>IF(I25="","",language!$A$85)</f>
      </c>
      <c r="K25" s="80">
        <f>IF(K20="","",K20*K12*K13/1000)</f>
      </c>
      <c r="L25" s="79">
        <f>IF(K25="","",language!$A$85)</f>
      </c>
      <c r="M25" s="87">
        <f>IF(OR(A1=0,$F$4=0,$F$4=""),"",(IF(E25="",0,E25)+IF(G25="",0,G25)+IF(I25="",0,I25)+IF(K25="",0,K25)))</f>
        <v>0</v>
      </c>
      <c r="N25" s="81" t="str">
        <f>IF(M25="","",language!A85)</f>
        <v>kg/uur</v>
      </c>
    </row>
    <row r="26" spans="2:14" ht="18" customHeight="1" hidden="1">
      <c r="B26" s="61" t="str">
        <f>B14</f>
        <v>CO2-emissie</v>
      </c>
      <c r="C26" s="63"/>
      <c r="D26" s="63"/>
      <c r="E26" s="83">
        <f>IF(E19="","",E19*E12*E14/1000/1000)</f>
      </c>
      <c r="F26" s="75">
        <f>IF(E19="","",language!$A$89)</f>
      </c>
      <c r="G26" s="83">
        <f>IF(G19="","",G19*G12*G14/1000/1000)</f>
      </c>
      <c r="H26" s="75">
        <f>IF(G19="","",language!$A$89)</f>
      </c>
      <c r="I26" s="83">
        <f>IF(I19="","",I19*I12*I14/1000/1000)</f>
      </c>
      <c r="J26" s="75">
        <f>IF(I19="","",language!$A$89)</f>
      </c>
      <c r="K26" s="84">
        <f>IF(K19="","",K19*K12*K14/1000/1000)</f>
      </c>
      <c r="L26" s="75">
        <f>IF(K19="","",language!$A$89)</f>
      </c>
      <c r="M26" s="86">
        <f>IF(A1=1,(IF(E26="",0,E26)+IF(G26="",0,G26)+IF(I26="",0,I26)+IF(K26="",0,K26))/1000,"")</f>
        <v>0</v>
      </c>
      <c r="N26" s="66" t="str">
        <f>language!A90</f>
        <v>kton/jaar</v>
      </c>
    </row>
    <row r="27" spans="2:14" ht="18" customHeight="1" hidden="1">
      <c r="B27" s="61" t="str">
        <f>language!A52</f>
        <v>Gehalte fossiele brandstof</v>
      </c>
      <c r="C27" s="63"/>
      <c r="D27" s="63"/>
      <c r="E27" s="88">
        <f>IF(E$10=1,"",INDEX(Data!$C$16:$C$31,'Emission data'!E$10))</f>
      </c>
      <c r="F27" s="75">
        <f>IF(E19="","","%")</f>
      </c>
      <c r="G27" s="88">
        <f>IF(G$10=1,"",INDEX(Data!$C$16:$C$31,'Emission data'!G$10))</f>
      </c>
      <c r="H27" s="75">
        <f>IF(G19="","","%")</f>
      </c>
      <c r="I27" s="88">
        <f>IF(I$10=1,"",INDEX(Data!$C$16:$C$31,'Emission data'!I$10))</f>
      </c>
      <c r="J27" s="75">
        <f>IF(I19="","","%")</f>
      </c>
      <c r="K27" s="89">
        <f>IF(K$10=1,"",INDEX(Data!$C$16:$C$31,'Emission data'!K$10))</f>
      </c>
      <c r="L27" s="75">
        <f>IF(K19="","","%")</f>
      </c>
      <c r="M27" s="88"/>
      <c r="N27" s="66"/>
    </row>
    <row r="28" spans="2:14" ht="18" customHeight="1" hidden="1" thickBot="1">
      <c r="B28" s="67" t="str">
        <f>CONCATENATE(B14," ",language!A53)</f>
        <v>CO2-emissie voor handel</v>
      </c>
      <c r="C28" s="68"/>
      <c r="D28" s="68"/>
      <c r="E28" s="90">
        <f>IF(E19="","",E26*E27/100)</f>
      </c>
      <c r="F28" s="91">
        <f>IF(E19="","",language!$A$89)</f>
      </c>
      <c r="G28" s="90">
        <f>IF(G19="","",G26*G27/100)</f>
      </c>
      <c r="H28" s="91">
        <f>IF(G19="","",language!$A$89)</f>
      </c>
      <c r="I28" s="90">
        <f>IF(I19="","",I26*I27/100)</f>
      </c>
      <c r="J28" s="91">
        <f>IF(I19="","",language!$A$89)</f>
      </c>
      <c r="K28" s="90">
        <f>IF(K19="","",K26*K27/100)</f>
      </c>
      <c r="L28" s="91">
        <f>IF(K19="","",language!$A$89)</f>
      </c>
      <c r="M28" s="92">
        <f>IF(A1=1,(IF(E28="",0,E28)+IF(G28="",0,G28)+IF(I28="",0,I28)+IF(K28="",0,K28))/1000,"")</f>
        <v>0</v>
      </c>
      <c r="N28" s="69" t="str">
        <f>N26</f>
        <v>kton/jaar</v>
      </c>
    </row>
    <row r="29" spans="2:14" ht="18" customHeight="1">
      <c r="B29" s="274" t="str">
        <f>language!A54</f>
        <v>Rookgas</v>
      </c>
      <c r="C29" s="275"/>
      <c r="D29" s="275"/>
      <c r="E29" s="288" t="str">
        <f>IF(A1=0,"",language!$A$60)</f>
        <v>Invoer emissiegegevens</v>
      </c>
      <c r="F29" s="295"/>
      <c r="G29" s="288" t="str">
        <f>language!A55</f>
        <v>Concentratie in droog rookgas</v>
      </c>
      <c r="H29" s="294"/>
      <c r="I29" s="295"/>
      <c r="J29" s="288" t="str">
        <f>language!A56</f>
        <v>Emissie</v>
      </c>
      <c r="K29" s="294"/>
      <c r="L29" s="295"/>
      <c r="M29" s="288" t="str">
        <f>language!A217</f>
        <v>Rookgasdebiet</v>
      </c>
      <c r="N29" s="289"/>
    </row>
    <row r="30" spans="2:14" ht="18" customHeight="1">
      <c r="B30" s="269"/>
      <c r="C30" s="270"/>
      <c r="D30" s="270"/>
      <c r="E30" s="296"/>
      <c r="F30" s="299"/>
      <c r="G30" s="296" t="str">
        <f>IF(language!A9="","",CONCATENATE("(",language!A9,")"))</f>
        <v>(Nm3: m3 onder standaard condities)</v>
      </c>
      <c r="H30" s="298"/>
      <c r="I30" s="299"/>
      <c r="J30" s="271" t="str">
        <f>IF($A$1=0,"",language!$A$83)</f>
        <v>kg/jaar</v>
      </c>
      <c r="K30" s="273" t="str">
        <f>IF($A$1=0,"",language!$A$85)</f>
        <v>kg/uur</v>
      </c>
      <c r="L30" s="272" t="str">
        <f>IF($A$1=0,"",language!$A$96)</f>
        <v>g/GJ</v>
      </c>
      <c r="M30" s="296"/>
      <c r="N30" s="297"/>
    </row>
    <row r="31" spans="2:14" ht="18" customHeight="1">
      <c r="B31" s="61" t="str">
        <f>language!A40</f>
        <v>NOx</v>
      </c>
      <c r="C31" s="63"/>
      <c r="D31" s="283">
        <v>899</v>
      </c>
      <c r="E31" s="60"/>
      <c r="F31" s="63" t="str">
        <f>IF($A$1=0,"",language!$A$83)</f>
        <v>kg/jaar</v>
      </c>
      <c r="G31" s="62">
        <f>IF($A$1=0,"",IF($M$32="","",IF(E31&lt;&gt;"",E31/$M$32*1000000,IF(D31=899,0,(1+(D31-TRUNC(D31/900)*900)/100)*10^(TRUNC(D31/900)-1)))))</f>
        <v>0</v>
      </c>
      <c r="H31" s="63" t="str">
        <f>IF(G31="","",language!$A$93)</f>
        <v>mg/Nm3</v>
      </c>
      <c r="I31" s="75"/>
      <c r="J31" s="241">
        <f>IF(OR(A1&lt;&gt;1,M32=""),"",G31*M32/1000000)</f>
        <v>0</v>
      </c>
      <c r="K31" s="243">
        <f>IF(AND(A1=1,F4&lt;&gt;0,F4&lt;&gt;""),G31*M33/1000000,"")</f>
        <v>0</v>
      </c>
      <c r="L31" s="242">
        <f>IF(OR(A1=0,M22=0),"",J31/M22)</f>
      </c>
      <c r="M31" s="286" t="str">
        <f>IF(M33="","",language!A46)</f>
        <v>droog</v>
      </c>
      <c r="N31" s="287"/>
    </row>
    <row r="32" spans="2:14" ht="18" customHeight="1">
      <c r="B32" s="61" t="str">
        <f>language!A38</f>
        <v>SO2</v>
      </c>
      <c r="C32" s="63"/>
      <c r="D32" s="283">
        <v>899</v>
      </c>
      <c r="E32" s="60"/>
      <c r="F32" s="63" t="str">
        <f>IF($A$1=0,"",language!$A$83)</f>
        <v>kg/jaar</v>
      </c>
      <c r="G32" s="62">
        <f>IF($A$1=0,"",IF($M$32="","",IF(E32&lt;&gt;"",E32/$M$32*1000000,IF(D32=899,0,(1+(D32-TRUNC(D32/900)*900)/100)*10^(TRUNC(D32/900)-1)))))</f>
        <v>0</v>
      </c>
      <c r="H32" s="63" t="str">
        <f>IF(G32="","",language!$A$93)</f>
        <v>mg/Nm3</v>
      </c>
      <c r="I32" s="75"/>
      <c r="J32" s="241">
        <f>IF(OR(A1&lt;&gt;1,M32="",G32=""),"",G32*M32/1000000)</f>
        <v>0</v>
      </c>
      <c r="K32" s="243">
        <f>IF(AND(A1=1,F4&lt;&gt;0,F4&lt;&gt;""),G32*M33/1000000,"")</f>
        <v>0</v>
      </c>
      <c r="L32" s="242">
        <f>IF(OR($M$22=0,$A$1=0),"",J32/$M$22)</f>
      </c>
      <c r="M32" s="83">
        <f>IF(A1=0,"",IF(M15&lt;&gt;0,M15*21/(21-G34),G34*G35*3600*F4*(100-G36)/100*273/(273+G37)))</f>
        <v>315360.00000000006</v>
      </c>
      <c r="N32" s="66" t="str">
        <f>language!A92</f>
        <v>Nm3/jaar</v>
      </c>
    </row>
    <row r="33" spans="2:14" ht="18" customHeight="1">
      <c r="B33" s="259">
        <v>5</v>
      </c>
      <c r="C33" s="260"/>
      <c r="D33" s="284">
        <v>899</v>
      </c>
      <c r="E33" s="260"/>
      <c r="F33" s="79" t="str">
        <f>IF($A$1=0,"",language!$A$83)</f>
        <v>kg/jaar</v>
      </c>
      <c r="G33" s="265">
        <f>IF($A$1=0,"",IF($M$32="","",IF(E33&lt;&gt;"",E33/$M$32*1000000,IF(D33=899,0,(1+(D33-TRUNC(D33/900)*900)/100)*10^(TRUNC(D33/900)-4)))))</f>
        <v>0</v>
      </c>
      <c r="H33" s="79" t="str">
        <f>IF(G33="","",language!$A$93)</f>
        <v>mg/Nm3</v>
      </c>
      <c r="I33" s="78"/>
      <c r="J33" s="244">
        <f>IF(OR(A1&lt;&gt;1,M32="",G33=""),"",G33*M32/1000000)</f>
        <v>0</v>
      </c>
      <c r="K33" s="245">
        <f>IF(AND(A1=1,F4&lt;&gt;0,F4&lt;&gt;""),G33*M33/1000000,"")</f>
        <v>0</v>
      </c>
      <c r="L33" s="246">
        <f>IF(OR(A1=0,M22=0),"",J33/M22)</f>
      </c>
      <c r="M33" s="83">
        <f>IF(AND(A1=1,F4&lt;&gt;"",F4&lt;&gt;0),M32/F4,"")</f>
        <v>36.00000000000001</v>
      </c>
      <c r="N33" s="66" t="str">
        <f>IF(M33="","",language!A84)</f>
        <v>Nm3/uur</v>
      </c>
    </row>
    <row r="34" spans="2:14" ht="18" customHeight="1">
      <c r="B34" s="61" t="str">
        <f>IF(M22=0,language!A221,language!$A$37)</f>
        <v>Dwarsdoorsnede afgaskanaal</v>
      </c>
      <c r="C34" s="63"/>
      <c r="D34" s="283">
        <v>900</v>
      </c>
      <c r="E34" s="60"/>
      <c r="F34" s="63" t="str">
        <f>IF(M22=0,language!A222,language!A91)</f>
        <v>m2</v>
      </c>
      <c r="G34" s="278">
        <f>IF(A1&lt;&gt;1,"",IF(M22&lt;&gt;0,IF(OR(E34&lt;0,E34&gt;=21,E34=""),IF(D34&gt;900,(D34-900)/430,IF(AND(F10&lt;12,H10&lt;12,J10&lt;12,L10&lt;12),3,6)),E34),IF(E34&lt;&gt;"",E34,(D34-890)/100)))</f>
        <v>0.1</v>
      </c>
      <c r="H34" s="63" t="str">
        <f>IF(M22=0,language!A222,language!A91)</f>
        <v>m2</v>
      </c>
      <c r="I34" s="75"/>
      <c r="J34" s="248">
        <f>IF(J35="","",F35)</f>
      </c>
      <c r="K34" s="249">
        <f>IF(K35="","",language!A88)</f>
      </c>
      <c r="L34" s="250">
        <f>IF(L35="","",language!$A$95)</f>
      </c>
      <c r="M34" s="286" t="str">
        <f>IF(M36="","",language!A47)</f>
        <v>nat</v>
      </c>
      <c r="N34" s="287"/>
    </row>
    <row r="35" spans="2:14" ht="18" customHeight="1">
      <c r="B35" s="76" t="str">
        <f>IF(M22=0,language!$A$227,language!A39)</f>
        <v>Afgassnelheid</v>
      </c>
      <c r="C35" s="79"/>
      <c r="D35" s="284">
        <v>899</v>
      </c>
      <c r="E35" s="260"/>
      <c r="F35" s="79" t="str">
        <f>IF(M22=0,language!A228,language!A90)</f>
        <v>m/s</v>
      </c>
      <c r="G35" s="265">
        <f>IF($A$1=0,"",IF(J35="",IF(E35&lt;&gt;"",E35,(D35-889)/100),K35*1000/44*22.4/M33*100))</f>
        <v>0.1</v>
      </c>
      <c r="H35" s="79" t="str">
        <f>IF(J35="",language!A228,CONCATENATE(language!A91,IF(AND(D35=899,E35=""),CONCATENATE(" (",language!A223,")"),"")))</f>
        <v>m/s</v>
      </c>
      <c r="I35" s="78"/>
      <c r="J35" s="244">
        <f>IF(OR($A$1=0,M22=0),"",IF(E35&lt;&gt;"",E35,IF(D35=899,M21,(D35-900)/2000*M21)))</f>
      </c>
      <c r="K35" s="245">
        <f>IF(AND($A$1=1,M22&gt;0,F4&lt;&gt;0,F4&lt;&gt;""),J35*1000/F4,"")</f>
      </c>
      <c r="L35" s="246">
        <f>IF(OR($M$22=0,$A$1=0),"",J35*1000/$M$22)</f>
      </c>
      <c r="M35" s="83">
        <f>IF(M32&lt;&gt;"",M32*100/(100-$G$36),"")</f>
        <v>315360.00000000006</v>
      </c>
      <c r="N35" s="66" t="str">
        <f>IF(M35="","",N32)</f>
        <v>Nm3/jaar</v>
      </c>
    </row>
    <row r="36" spans="2:14" ht="18" customHeight="1">
      <c r="B36" s="61" t="str">
        <f>language!A149</f>
        <v>Waterdamp</v>
      </c>
      <c r="C36" s="63"/>
      <c r="D36" s="283">
        <v>899</v>
      </c>
      <c r="E36" s="60"/>
      <c r="F36" s="63" t="str">
        <f>language!A91</f>
        <v>vol%</v>
      </c>
      <c r="G36" s="276">
        <f>IF(A1&lt;&gt;1,"",IF(E36&lt;&gt;"",E36,IF(D36&lt;&gt;899,(D36-900)/100,IF(M22=0,0,100*(M16-M15)/(M32+M16-M15)))))</f>
        <v>0</v>
      </c>
      <c r="H36" s="266" t="str">
        <f>IF(G36="","",CONCATENATE(language!A91,IF(AND(D36=899,E36="",M22&lt;&gt;0),CONCATENATE(" (",language!A223,")"),"")))</f>
        <v>vol%</v>
      </c>
      <c r="I36" s="75"/>
      <c r="J36" s="74">
        <f>IF(K36="","",language!A224)</f>
      </c>
      <c r="K36" s="268">
        <f>IF(G36=0,"",TRUNC((19513.7/(17.433-LN(1013*G36/100)))^(1/1.27095)-273))</f>
      </c>
      <c r="L36" s="267">
        <f>IF(K36="","","°C")</f>
      </c>
      <c r="M36" s="83">
        <f>IF(M33&lt;&gt;"",M33*100/(100-$G$36),"")</f>
        <v>36.00000000000001</v>
      </c>
      <c r="N36" s="66" t="str">
        <f>IF(M36="","",N33)</f>
        <v>Nm3/uur</v>
      </c>
    </row>
    <row r="37" spans="2:14" ht="18" customHeight="1" thickBot="1">
      <c r="B37" s="67" t="str">
        <f>language!A219</f>
        <v>Temperatuur</v>
      </c>
      <c r="C37" s="68"/>
      <c r="D37" s="285">
        <v>0</v>
      </c>
      <c r="E37" s="247"/>
      <c r="F37" s="68" t="s">
        <v>1028</v>
      </c>
      <c r="G37" s="279">
        <f>IF(A1=0,"",IF(E37&lt;&gt;"",E37,D37))</f>
        <v>0</v>
      </c>
      <c r="H37" s="68" t="str">
        <f>IF(G37&lt;&gt;"",F37,"")</f>
        <v>°C</v>
      </c>
      <c r="I37" s="68"/>
      <c r="J37" s="262"/>
      <c r="K37" s="263"/>
      <c r="L37" s="264"/>
      <c r="M37" s="251">
        <f>IF(M36&lt;&gt;"",M36*((273+E37)/273)/3600,"")</f>
        <v>0.010000000000000002</v>
      </c>
      <c r="N37" s="69" t="str">
        <f>IF(M37="","",language!A220)</f>
        <v>m3/s</v>
      </c>
    </row>
    <row r="38" ht="6.75" customHeight="1"/>
    <row r="39" ht="18" customHeight="1" hidden="1"/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spans="2:4" ht="18" customHeight="1" hidden="1">
      <c r="B54" s="20"/>
      <c r="C54" s="20"/>
      <c r="D54" s="20"/>
    </row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</sheetData>
  <sheetProtection password="8F37" sheet="1" selectLockedCells="1"/>
  <mergeCells count="23">
    <mergeCell ref="E11:F11"/>
    <mergeCell ref="G11:H11"/>
    <mergeCell ref="E29:F29"/>
    <mergeCell ref="G29:I29"/>
    <mergeCell ref="E2:H2"/>
    <mergeCell ref="E30:F30"/>
    <mergeCell ref="M9:N9"/>
    <mergeCell ref="I2:N2"/>
    <mergeCell ref="E9:F9"/>
    <mergeCell ref="G9:H9"/>
    <mergeCell ref="I9:J9"/>
    <mergeCell ref="I3:J3"/>
    <mergeCell ref="M3:N8"/>
    <mergeCell ref="K9:L9"/>
    <mergeCell ref="M31:N31"/>
    <mergeCell ref="M34:N34"/>
    <mergeCell ref="M29:N29"/>
    <mergeCell ref="I11:J11"/>
    <mergeCell ref="M11:N11"/>
    <mergeCell ref="K11:L11"/>
    <mergeCell ref="J29:L29"/>
    <mergeCell ref="M30:N30"/>
    <mergeCell ref="G30:I30"/>
  </mergeCells>
  <printOptions/>
  <pageMargins left="0.75" right="0.75" top="0.58" bottom="0.57" header="0.5" footer="0.5"/>
  <pageSetup fitToHeight="1" fitToWidth="1" horizontalDpi="600" verticalDpi="600" orientation="landscape" paperSize="9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R90"/>
  <sheetViews>
    <sheetView zoomScale="75" zoomScaleNormal="75" zoomScalePageLayoutView="0" workbookViewId="0" topLeftCell="A1">
      <selection activeCell="D2" sqref="D2"/>
    </sheetView>
  </sheetViews>
  <sheetFormatPr defaultColWidth="0" defaultRowHeight="12.75" zeroHeight="1"/>
  <cols>
    <col min="1" max="1" width="2.375" style="17" customWidth="1"/>
    <col min="2" max="2" width="37.625" style="17" customWidth="1"/>
    <col min="3" max="3" width="9.75390625" style="18" bestFit="1" customWidth="1"/>
    <col min="4" max="8" width="15.625" style="17" customWidth="1"/>
    <col min="9" max="9" width="14.25390625" style="17" hidden="1" customWidth="1"/>
    <col min="10" max="18" width="0" style="17" hidden="1" customWidth="1"/>
    <col min="19" max="19" width="2.375" style="17" customWidth="1"/>
    <col min="20" max="16384" width="0" style="17" hidden="1" customWidth="1"/>
  </cols>
  <sheetData>
    <row r="1" ht="27" customHeight="1">
      <c r="A1" s="16">
        <f ca="1">IF(NOW()&gt;Data!B2,0,1)</f>
        <v>1</v>
      </c>
    </row>
    <row r="2" spans="2:9" ht="15.75">
      <c r="B2" s="99"/>
      <c r="C2" s="100" t="str">
        <f>language!A142</f>
        <v>Omschrijving</v>
      </c>
      <c r="D2" s="36" t="str">
        <f>language!A28</f>
        <v>AARDGAS</v>
      </c>
      <c r="E2" s="36" t="s">
        <v>173</v>
      </c>
      <c r="F2" s="36" t="s">
        <v>1027</v>
      </c>
      <c r="G2" s="36" t="s">
        <v>143</v>
      </c>
      <c r="H2" s="37" t="s">
        <v>144</v>
      </c>
      <c r="I2" s="21"/>
    </row>
    <row r="3" spans="2:9" ht="15.75">
      <c r="B3" s="101" t="str">
        <f>language!A34</f>
        <v>Onderste verbrandingswaarde</v>
      </c>
      <c r="C3" s="102" t="str">
        <f>language!A71</f>
        <v>kJ/Nm3</v>
      </c>
      <c r="D3" s="197"/>
      <c r="E3" s="197"/>
      <c r="F3" s="197">
        <v>28000</v>
      </c>
      <c r="G3" s="197">
        <v>35000</v>
      </c>
      <c r="H3" s="198">
        <v>40000</v>
      </c>
      <c r="I3" s="23"/>
    </row>
    <row r="4" spans="2:9" ht="15.75">
      <c r="B4" s="103" t="str">
        <f>language!A52</f>
        <v>Gehalte fossiele brandstof</v>
      </c>
      <c r="C4" s="104" t="s">
        <v>22</v>
      </c>
      <c r="D4" s="40">
        <v>100</v>
      </c>
      <c r="E4" s="40">
        <v>100</v>
      </c>
      <c r="F4" s="40">
        <v>100</v>
      </c>
      <c r="G4" s="40">
        <v>100</v>
      </c>
      <c r="H4" s="41">
        <v>100</v>
      </c>
      <c r="I4" s="23"/>
    </row>
    <row r="5" spans="2:9" ht="15.75">
      <c r="B5" s="101" t="str">
        <f>B3</f>
        <v>Onderste verbrandingswaarde</v>
      </c>
      <c r="C5" s="102" t="str">
        <f>language!A70</f>
        <v>MJ/Nm3</v>
      </c>
      <c r="D5" s="107">
        <f>IF($A1=1,IF(D67="",IF(D3="","",D3/1000),D67),"")</f>
        <v>31.668546173147696</v>
      </c>
      <c r="E5" s="107">
        <f>IF($A1=1,IF(E67="",IF(E3="","",E3/1000),E67),"")</f>
        <v>36.27167028890894</v>
      </c>
      <c r="F5" s="107">
        <f>IF($A1=1,IF(F67="",IF(F3="","",F3/1000),F67),"")</f>
        <v>28</v>
      </c>
      <c r="G5" s="107">
        <f>IF($A1=1,IF(G67="",IF(G3="","",G3/1000),G67),"")</f>
        <v>35</v>
      </c>
      <c r="H5" s="199">
        <f>IF($A1=1,IF(H67="",IF(H3="","",H3/1000),H67),"")</f>
        <v>40</v>
      </c>
      <c r="I5" s="21"/>
    </row>
    <row r="6" spans="2:8" ht="15.75">
      <c r="B6" s="101" t="str">
        <f>language!A35</f>
        <v>Bovenste verbrandingswaarde</v>
      </c>
      <c r="C6" s="102" t="str">
        <f>C5</f>
        <v>MJ/Nm3</v>
      </c>
      <c r="D6" s="109">
        <f>IF(D64="",IF(D5="","",D5+(D18-D17)*44.0136/21.629),D64)</f>
        <v>35.094354942641466</v>
      </c>
      <c r="E6" s="109">
        <f>IF(E64="",IF(E5="","",E5+(E18-E17)*44.0136/21.629),E64)</f>
        <v>40.16541157942081</v>
      </c>
      <c r="F6" s="109">
        <f>IF(F64="",IF(F5="","",F5+(F18-F17)*44.0136/21.629),F64)</f>
        <v>31.12342108465486</v>
      </c>
      <c r="G6" s="109">
        <f>IF(G64="",IF(G5="","",G5+(G18-G17)*44.0136/21.629),G64)</f>
        <v>38.94390670673632</v>
      </c>
      <c r="H6" s="110">
        <f>IF(H64="",IF(H5="","",H5+(H18-H17)*44.0136/21.629),H64)</f>
        <v>44.52996786536595</v>
      </c>
    </row>
    <row r="7" spans="2:8" ht="15.75">
      <c r="B7" s="101" t="str">
        <f>language!A36</f>
        <v>Wobbe-index</v>
      </c>
      <c r="C7" s="102" t="str">
        <f>C6</f>
        <v>MJ/Nm3</v>
      </c>
      <c r="D7" s="109">
        <f>IF(D65="",IF(OR(D3="",$A1=0),"",D6/SQRT(0.82/1.293)),D65)</f>
        <v>43.70619118844945</v>
      </c>
      <c r="E7" s="109">
        <f>IF(E65="",IF(OR(E3="",$A1=0),"",E6/SQRT(0.82/1.293)),E65)</f>
        <v>50.933430463527955</v>
      </c>
      <c r="F7" s="109">
        <f>IF(F65="",IF(OR(F3="",$A1=0),"",F6/SQRT(0.82/1.293)),F65)</f>
        <v>39.082259568393766</v>
      </c>
      <c r="G7" s="109">
        <f>IF(G65="",IF(OR(G3="",$A1=0),"",G6/SQRT(0.82/1.293)),G65)</f>
        <v>48.902589030304156</v>
      </c>
      <c r="H7" s="110">
        <f>IF(H65="",IF(OR(H3="",$A1=0),"",H6/SQRT(0.82/1.293)),H65)</f>
        <v>55.91711007452587</v>
      </c>
    </row>
    <row r="8" spans="2:9" ht="15.75">
      <c r="B8" s="101" t="str">
        <f>language!A33</f>
        <v>Berekeningsmethode</v>
      </c>
      <c r="C8" s="102"/>
      <c r="D8" s="111" t="str">
        <f>IF(D66="",IF(D5="","",language!$A$198),language!$A$199)</f>
        <v>samenstelling</v>
      </c>
      <c r="E8" s="111" t="str">
        <f>IF(E66="",IF(E5="","",language!$A$198),language!$A$199)</f>
        <v>samenstelling</v>
      </c>
      <c r="F8" s="111" t="str">
        <f>IF(F66="",IF(F5="","",language!$A$198),language!$A$199)</f>
        <v>DIN1942</v>
      </c>
      <c r="G8" s="111" t="str">
        <f>IF(G66="",IF(G5="","",language!$A$198),language!$A$199)</f>
        <v>DIN1942</v>
      </c>
      <c r="H8" s="112" t="str">
        <f>IF(H66="",IF(H5="","",language!$A$198),language!$A$199)</f>
        <v>DIN1942</v>
      </c>
      <c r="I8" s="24"/>
    </row>
    <row r="9" spans="2:9" ht="15.75">
      <c r="B9" s="105" t="str">
        <f>language!A154</f>
        <v>Koolstofdioxide</v>
      </c>
      <c r="C9" s="102" t="str">
        <f>language!A80</f>
        <v>Nm3/Nm3</v>
      </c>
      <c r="D9" s="111">
        <f>IF(D8="","",IF(D8=language!$A$198,D84,D76))</f>
        <v>0.8969047091110158</v>
      </c>
      <c r="E9" s="111">
        <f>IF(E8="","",IF(E8=language!$A$198,E84,E76))</f>
        <v>1.0403934365117815</v>
      </c>
      <c r="F9" s="111">
        <f>IF(F8="","",IF(F8=language!$A$198,F84,F76))</f>
        <v>0.86296</v>
      </c>
      <c r="G9" s="111">
        <f>IF(G8="","",IF(G8=language!$A$198,G84,G76))</f>
        <v>1.02095</v>
      </c>
      <c r="H9" s="112">
        <f>IF(H8="","",IF(H8=language!$A$198,H84,H76))</f>
        <v>1.1338000000000001</v>
      </c>
      <c r="I9" s="24"/>
    </row>
    <row r="10" spans="2:9" ht="15.75">
      <c r="B10" s="105"/>
      <c r="C10" s="106" t="str">
        <f>language!A76</f>
        <v>kg/GJ</v>
      </c>
      <c r="D10" s="113">
        <f>IF(D9="","",D9/'Gaseous fuels'!$L$29*'Gaseous fuels'!$K$29*1000/D5)</f>
        <v>56.02910531993935</v>
      </c>
      <c r="E10" s="113">
        <f>IF(E9="","",E9/'Gaseous fuels'!$L$29*'Gaseous fuels'!$K$29*1000/E5)</f>
        <v>56.74473321176498</v>
      </c>
      <c r="F10" s="113">
        <f>IF(F9="","",F9/'Gaseous fuels'!$L$29*'Gaseous fuels'!$K$29*1000/F5)</f>
        <v>60.97167755246987</v>
      </c>
      <c r="G10" s="113">
        <f>IF(G9="","",G9/'Gaseous fuels'!$L$29*'Gaseous fuels'!$K$29*1000/G5)</f>
        <v>57.707457307123505</v>
      </c>
      <c r="H10" s="114">
        <f>IF(H9="","",H9/'Gaseous fuels'!$L$29*'Gaseous fuels'!$K$29*1000/H5)</f>
        <v>56.07534718445032</v>
      </c>
      <c r="I10" s="24"/>
    </row>
    <row r="11" spans="2:9" ht="15.75">
      <c r="B11" s="105" t="str">
        <f>language!A149</f>
        <v>Waterdamp</v>
      </c>
      <c r="C11" s="102" t="str">
        <f>C9</f>
        <v>Nm3/Nm3</v>
      </c>
      <c r="D11" s="111">
        <f>IF(D8="","",IF(D8=language!$A$198,D85,D77))</f>
        <v>1.6834064402803717</v>
      </c>
      <c r="E11" s="111">
        <f>IF(E8="","",IF(E8=language!$A$198,E85,E77))</f>
        <v>1.9133435653508015</v>
      </c>
      <c r="F11" s="111">
        <f>IF(F8="","",IF(F8=language!$A$198,F85,F77))</f>
        <v>1.6239999999999999</v>
      </c>
      <c r="G11" s="111">
        <f>IF(G8="","",IF(G8=language!$A$198,G85,G77))</f>
        <v>2.0496000000000003</v>
      </c>
      <c r="H11" s="112">
        <f>IF(H8="","",IF(H8=language!$A$198,H85,H77))</f>
        <v>2.3536</v>
      </c>
      <c r="I11" s="24"/>
    </row>
    <row r="12" spans="2:9" ht="15.75">
      <c r="B12" s="105" t="str">
        <f>language!A143</f>
        <v>Brandstofstikstof</v>
      </c>
      <c r="C12" s="102" t="str">
        <f>C11</f>
        <v>Nm3/Nm3</v>
      </c>
      <c r="D12" s="111">
        <f>IF(D8="","",IF(D8=language!$A$198,D86,D78))</f>
        <v>0.1434634539967788</v>
      </c>
      <c r="E12" s="111">
        <f>IF(E8="","",IF(E8=language!$A$198,E86,E78))</f>
        <v>0.03128237132187289</v>
      </c>
      <c r="F12" s="111">
        <f>IF(F8="","",IF(F8=language!$A$198,F86,F78))</f>
        <v>0</v>
      </c>
      <c r="G12" s="111">
        <f>IF(G8="","",IF(G8=language!$A$198,G86,G78))</f>
        <v>0</v>
      </c>
      <c r="H12" s="112">
        <f>IF(H8="","",IF(H8=language!$A$198,H86,H78))</f>
        <v>0</v>
      </c>
      <c r="I12" s="24"/>
    </row>
    <row r="13" spans="2:9" ht="15.75">
      <c r="B13" s="105" t="str">
        <f>language!A183</f>
        <v>Zwaveldioxide</v>
      </c>
      <c r="C13" s="102" t="str">
        <f>C12</f>
        <v>Nm3/Nm3</v>
      </c>
      <c r="D13" s="111">
        <f>IF(D8="","",IF(D8=language!$A$198,D87,D79))</f>
        <v>0</v>
      </c>
      <c r="E13" s="111">
        <f>IF(E8="","",IF(E8=language!$A$198,E87,E79))</f>
        <v>0</v>
      </c>
      <c r="F13" s="111">
        <f>IF(F8="","",IF(F8=language!$A$198,F87,F79))</f>
        <v>0</v>
      </c>
      <c r="G13" s="111">
        <f>IF(G8="","",IF(G8=language!$A$198,G87,G79))</f>
        <v>0</v>
      </c>
      <c r="H13" s="112">
        <f>IF(H8="","",IF(H8=language!$A$198,H87,H79))</f>
        <v>0</v>
      </c>
      <c r="I13" s="24"/>
    </row>
    <row r="14" spans="2:9" ht="15.75">
      <c r="B14" s="105"/>
      <c r="C14" s="106" t="str">
        <f>C10</f>
        <v>kg/GJ</v>
      </c>
      <c r="D14" s="111">
        <f>IF(D8="","",D13/22.4*64*1000/D5)</f>
        <v>0</v>
      </c>
      <c r="E14" s="111">
        <f>IF(E8="","",E13/22.4*64*1000/E5)</f>
        <v>0</v>
      </c>
      <c r="F14" s="111">
        <f>IF(F8="","",F13/22.4*64*1000/F5)</f>
        <v>0</v>
      </c>
      <c r="G14" s="111">
        <f>IF(G8="","",G13/22.4*64*1000/G5)</f>
        <v>0</v>
      </c>
      <c r="H14" s="112">
        <f>IF(H8="","",H13/22.4*64*1000/H5)</f>
        <v>0</v>
      </c>
      <c r="I14" s="24"/>
    </row>
    <row r="15" spans="2:9" ht="15.75">
      <c r="B15" s="101" t="str">
        <f>language!A42</f>
        <v>Stoichiometrisch luchtverbruik</v>
      </c>
      <c r="C15" s="102" t="str">
        <f>C13</f>
        <v>Nm3/Nm3</v>
      </c>
      <c r="D15" s="107">
        <f>IF(D5="","",IF(D8=language!$A$198,D88,D80))</f>
        <v>8.428759913873948</v>
      </c>
      <c r="E15" s="107">
        <f>IF(E5="","",IF(E8=language!$A$198,E88,E80))</f>
        <v>9.647947682313632</v>
      </c>
      <c r="F15" s="107">
        <f>IF(F5="","",IF(F8=language!$A$198,F88,F80))</f>
        <v>7.460700000000001</v>
      </c>
      <c r="G15" s="107">
        <f>IF(G5="","",IF(G8=language!$A$198,G88,G80))</f>
        <v>9.336</v>
      </c>
      <c r="H15" s="108">
        <f>IF(H5="","",IF(H8=language!$A$198,H88,H80))</f>
        <v>10.675500000000001</v>
      </c>
      <c r="I15" s="24"/>
    </row>
    <row r="16" spans="2:9" ht="15.75">
      <c r="B16" s="101" t="str">
        <f>language!A45</f>
        <v>Stoichiometrisch rookgasvolume</v>
      </c>
      <c r="C16" s="102"/>
      <c r="D16" s="107"/>
      <c r="E16" s="107"/>
      <c r="F16" s="107"/>
      <c r="G16" s="107"/>
      <c r="H16" s="108"/>
      <c r="I16" s="24"/>
    </row>
    <row r="17" spans="2:9" ht="15.75">
      <c r="B17" s="101" t="str">
        <f>CONCATENATE("  ",language!A46)</f>
        <v>  droog</v>
      </c>
      <c r="C17" s="102" t="str">
        <f>C15</f>
        <v>Nm3/Nm3</v>
      </c>
      <c r="D17" s="107">
        <f>IF(D5="","",IF(D8=language!$A$198,D89,D81))</f>
        <v>7.70330287502515</v>
      </c>
      <c r="E17" s="107">
        <f>IF(E5="","",IF(E8=language!$A$198,E89,E81))</f>
        <v>8.698378450702581</v>
      </c>
      <c r="F17" s="107">
        <f>IF(F5="","",IF(F8=language!$A$198,F89,F81))</f>
        <v>6.7622</v>
      </c>
      <c r="G17" s="107">
        <f>IF(G5="","",IF(G8=language!$A$198,G89,G81))</f>
        <v>8.403</v>
      </c>
      <c r="H17" s="108">
        <f>IF(H5="","",IF(H8=language!$A$198,H89,H81))</f>
        <v>9.575</v>
      </c>
      <c r="I17" s="24"/>
    </row>
    <row r="18" spans="2:13" ht="15.75">
      <c r="B18" s="103" t="str">
        <f>CONCATENATE("  ",language!A47)</f>
        <v>  nat</v>
      </c>
      <c r="C18" s="104" t="str">
        <f>C17</f>
        <v>Nm3/Nm3</v>
      </c>
      <c r="D18" s="115">
        <f>IF(D5="","",IF(D8=language!$A$198,D90,D82))</f>
        <v>9.386709315305522</v>
      </c>
      <c r="E18" s="115">
        <f>IF(E5="","",IF(E8=language!$A$198,E90,E82))</f>
        <v>10.611722016053383</v>
      </c>
      <c r="F18" s="115">
        <f>IF(F5="","",IF(F8=language!$A$198,F90,F82))</f>
        <v>8.2971</v>
      </c>
      <c r="G18" s="115">
        <f>IF(G5="","",IF(G8=language!$A$198,G90,G82))</f>
        <v>10.341099999999999</v>
      </c>
      <c r="H18" s="116">
        <f>IF(H5="","",IF(H8=language!$A$198,H90,H82))</f>
        <v>11.8011</v>
      </c>
      <c r="I18" s="24" t="s">
        <v>3</v>
      </c>
      <c r="J18" s="17" t="s">
        <v>1</v>
      </c>
      <c r="K18" s="17" t="s">
        <v>4</v>
      </c>
      <c r="L18" s="17" t="s">
        <v>5</v>
      </c>
      <c r="M18" s="17" t="s">
        <v>6</v>
      </c>
    </row>
    <row r="19" spans="2:18" ht="15.75">
      <c r="B19" s="234" t="s">
        <v>1030</v>
      </c>
      <c r="C19" s="235" t="str">
        <f>language!A142</f>
        <v>Omschrijving</v>
      </c>
      <c r="D19" s="236" t="str">
        <f>D2</f>
        <v>AARDGAS</v>
      </c>
      <c r="E19" s="236" t="str">
        <f>E2</f>
        <v>HC Gas</v>
      </c>
      <c r="F19" s="236" t="str">
        <f>F2</f>
        <v>GF1</v>
      </c>
      <c r="G19" s="236" t="str">
        <f>G2</f>
        <v>GF 2</v>
      </c>
      <c r="H19" s="236" t="str">
        <f>H2</f>
        <v>GF 3</v>
      </c>
      <c r="I19" s="22" t="s">
        <v>7</v>
      </c>
      <c r="J19" s="22" t="s">
        <v>7</v>
      </c>
      <c r="L19" s="22" t="s">
        <v>8</v>
      </c>
      <c r="M19" s="22"/>
      <c r="N19" s="18" t="s">
        <v>9</v>
      </c>
      <c r="O19" s="18" t="s">
        <v>10</v>
      </c>
      <c r="P19" s="18" t="s">
        <v>11</v>
      </c>
      <c r="Q19" s="18" t="s">
        <v>12</v>
      </c>
      <c r="R19" s="18" t="s">
        <v>13</v>
      </c>
    </row>
    <row r="20" spans="2:13" ht="15.75">
      <c r="B20" s="101" t="str">
        <f>language!A145</f>
        <v>Helium</v>
      </c>
      <c r="C20" s="102" t="s">
        <v>1029</v>
      </c>
      <c r="D20" s="38"/>
      <c r="E20" s="52">
        <v>0.065</v>
      </c>
      <c r="F20" s="52"/>
      <c r="G20" s="38"/>
      <c r="H20" s="39"/>
      <c r="I20" s="26">
        <f>J20+O20*22.008</f>
        <v>0</v>
      </c>
      <c r="J20" s="26">
        <v>0</v>
      </c>
      <c r="K20" s="26">
        <v>4.0026</v>
      </c>
      <c r="L20" s="27">
        <v>22.4248</v>
      </c>
      <c r="M20" s="27">
        <v>-0.016</v>
      </c>
    </row>
    <row r="21" spans="2:13" ht="15.75">
      <c r="B21" s="101" t="str">
        <f>language!A146</f>
        <v>Argon</v>
      </c>
      <c r="C21" s="102" t="s">
        <v>1029</v>
      </c>
      <c r="D21" s="38"/>
      <c r="E21" s="38"/>
      <c r="F21" s="38"/>
      <c r="G21" s="38"/>
      <c r="H21" s="39"/>
      <c r="I21" s="26">
        <f>J21+O21*22.008</f>
        <v>0</v>
      </c>
      <c r="J21" s="26">
        <v>0</v>
      </c>
      <c r="K21" s="26">
        <v>39.948</v>
      </c>
      <c r="L21" s="27">
        <v>22.3925</v>
      </c>
      <c r="M21" s="27">
        <v>0.0316</v>
      </c>
    </row>
    <row r="22" spans="2:18" ht="15.75">
      <c r="B22" s="216" t="str">
        <f>language!A147</f>
        <v>Waterstofsulfide *</v>
      </c>
      <c r="C22" s="217" t="s">
        <v>1029</v>
      </c>
      <c r="D22" s="214"/>
      <c r="E22" s="214"/>
      <c r="F22" s="214"/>
      <c r="G22" s="214"/>
      <c r="H22" s="215"/>
      <c r="I22" s="26">
        <f>J22+O22*22.008</f>
        <v>562.716</v>
      </c>
      <c r="J22" s="26">
        <v>518.7</v>
      </c>
      <c r="K22" s="26">
        <v>34.0758</v>
      </c>
      <c r="L22" s="27">
        <v>22.1881</v>
      </c>
      <c r="M22" s="27">
        <v>0.1</v>
      </c>
      <c r="O22" s="17">
        <v>2</v>
      </c>
      <c r="R22" s="17">
        <v>1</v>
      </c>
    </row>
    <row r="23" spans="2:15" ht="15.75">
      <c r="B23" s="101" t="str">
        <f>language!A148</f>
        <v>Waterstof</v>
      </c>
      <c r="C23" s="102" t="s">
        <v>1029</v>
      </c>
      <c r="D23" s="38"/>
      <c r="E23" s="38"/>
      <c r="F23" s="38"/>
      <c r="G23" s="38"/>
      <c r="H23" s="39"/>
      <c r="I23" s="26">
        <f>J23+O23*22.008</f>
        <v>285.843</v>
      </c>
      <c r="J23" s="26">
        <v>241.827</v>
      </c>
      <c r="K23" s="26">
        <v>2.0158</v>
      </c>
      <c r="L23" s="27">
        <v>22.4354</v>
      </c>
      <c r="M23" s="27">
        <v>0</v>
      </c>
      <c r="O23" s="17">
        <v>2</v>
      </c>
    </row>
    <row r="24" spans="2:16" ht="15.75">
      <c r="B24" s="101" t="str">
        <f>language!A149</f>
        <v>Waterdamp</v>
      </c>
      <c r="C24" s="102" t="s">
        <v>1029</v>
      </c>
      <c r="D24" s="38"/>
      <c r="E24" s="38"/>
      <c r="F24" s="38"/>
      <c r="G24" s="38"/>
      <c r="H24" s="39"/>
      <c r="I24" s="26">
        <v>0</v>
      </c>
      <c r="J24" s="26">
        <v>0</v>
      </c>
      <c r="K24" s="26">
        <v>18.0152</v>
      </c>
      <c r="L24" s="27">
        <v>21.629</v>
      </c>
      <c r="M24" s="27">
        <v>0.179</v>
      </c>
      <c r="O24" s="17">
        <v>2</v>
      </c>
      <c r="P24" s="17">
        <v>1</v>
      </c>
    </row>
    <row r="25" spans="2:17" ht="15.75">
      <c r="B25" s="216" t="str">
        <f>language!A150</f>
        <v>Stikstof</v>
      </c>
      <c r="C25" s="217" t="s">
        <v>1029</v>
      </c>
      <c r="D25" s="214">
        <v>14.32</v>
      </c>
      <c r="E25" s="214">
        <v>3.121</v>
      </c>
      <c r="F25" s="214"/>
      <c r="G25" s="214"/>
      <c r="H25" s="215"/>
      <c r="I25" s="26">
        <f aca="true" t="shared" si="0" ref="I25:I55">J25+O25*22.008</f>
        <v>0</v>
      </c>
      <c r="J25" s="26">
        <v>0</v>
      </c>
      <c r="K25" s="26">
        <v>28.0134</v>
      </c>
      <c r="L25" s="27">
        <v>22.4037</v>
      </c>
      <c r="M25" s="27">
        <v>0.0224</v>
      </c>
      <c r="Q25" s="17">
        <v>2</v>
      </c>
    </row>
    <row r="26" spans="2:16" ht="15.75">
      <c r="B26" s="101" t="str">
        <f>language!A151</f>
        <v>Zuurstof</v>
      </c>
      <c r="C26" s="102" t="s">
        <v>1029</v>
      </c>
      <c r="D26" s="38">
        <v>0.01</v>
      </c>
      <c r="E26" s="38"/>
      <c r="F26" s="38"/>
      <c r="G26" s="38"/>
      <c r="H26" s="39"/>
      <c r="I26" s="26">
        <f t="shared" si="0"/>
        <v>0</v>
      </c>
      <c r="J26" s="26">
        <v>0</v>
      </c>
      <c r="K26" s="26">
        <v>31.9988</v>
      </c>
      <c r="L26" s="27">
        <v>22.3919</v>
      </c>
      <c r="M26" s="27">
        <v>0.0316</v>
      </c>
      <c r="P26" s="17">
        <v>2</v>
      </c>
    </row>
    <row r="27" spans="2:15" ht="15.75">
      <c r="B27" s="101" t="str">
        <f>language!A152</f>
        <v>Methaan</v>
      </c>
      <c r="C27" s="102" t="s">
        <v>1029</v>
      </c>
      <c r="D27" s="38">
        <v>81.29</v>
      </c>
      <c r="E27" s="38">
        <v>89.402</v>
      </c>
      <c r="F27" s="38"/>
      <c r="G27" s="38"/>
      <c r="H27" s="39"/>
      <c r="I27" s="26">
        <f t="shared" si="0"/>
        <v>890.3520000000001</v>
      </c>
      <c r="J27" s="26">
        <v>802.32</v>
      </c>
      <c r="K27" s="26">
        <f aca="true" t="shared" si="1" ref="K27:K55">12.011*N27+1.0079*O27+15.9994*P27+14.0067*Q27+32.06*R27</f>
        <v>16.0426</v>
      </c>
      <c r="L27" s="27">
        <v>22.36</v>
      </c>
      <c r="M27" s="27">
        <v>0.049</v>
      </c>
      <c r="N27" s="17">
        <v>1</v>
      </c>
      <c r="O27" s="17">
        <v>4</v>
      </c>
    </row>
    <row r="28" spans="2:16" ht="15.75">
      <c r="B28" s="216" t="str">
        <f>language!A153</f>
        <v>Koolstofmonoxide</v>
      </c>
      <c r="C28" s="217" t="s">
        <v>1029</v>
      </c>
      <c r="D28" s="214"/>
      <c r="E28" s="214"/>
      <c r="F28" s="214"/>
      <c r="G28" s="214"/>
      <c r="H28" s="215"/>
      <c r="I28" s="26">
        <f t="shared" si="0"/>
        <v>282.989</v>
      </c>
      <c r="J28" s="26">
        <v>282.989</v>
      </c>
      <c r="K28" s="26">
        <f t="shared" si="1"/>
        <v>28.010399999999997</v>
      </c>
      <c r="L28" s="27">
        <v>22.3991</v>
      </c>
      <c r="M28" s="27">
        <v>0.0265</v>
      </c>
      <c r="N28" s="17">
        <v>1</v>
      </c>
      <c r="P28" s="17">
        <v>1</v>
      </c>
    </row>
    <row r="29" spans="2:16" ht="15.75">
      <c r="B29" s="101" t="str">
        <f>language!A154</f>
        <v>Koolstofdioxide</v>
      </c>
      <c r="C29" s="102" t="s">
        <v>1029</v>
      </c>
      <c r="D29" s="38">
        <v>0.89</v>
      </c>
      <c r="E29" s="38">
        <v>1.711</v>
      </c>
      <c r="F29" s="38"/>
      <c r="G29" s="38"/>
      <c r="H29" s="39"/>
      <c r="I29" s="26">
        <f t="shared" si="0"/>
        <v>0</v>
      </c>
      <c r="J29" s="26">
        <v>0</v>
      </c>
      <c r="K29" s="26">
        <f t="shared" si="1"/>
        <v>44.0098</v>
      </c>
      <c r="L29" s="27">
        <v>22.2461</v>
      </c>
      <c r="M29" s="27">
        <v>0.067</v>
      </c>
      <c r="N29" s="17">
        <v>1</v>
      </c>
      <c r="P29" s="17">
        <v>2</v>
      </c>
    </row>
    <row r="30" spans="2:15" ht="15.75">
      <c r="B30" s="101" t="str">
        <f>language!A155</f>
        <v>Ethaan</v>
      </c>
      <c r="C30" s="102" t="s">
        <v>1029</v>
      </c>
      <c r="D30" s="38">
        <v>2.87</v>
      </c>
      <c r="E30" s="38">
        <v>4.438</v>
      </c>
      <c r="F30" s="38"/>
      <c r="G30" s="38"/>
      <c r="H30" s="39"/>
      <c r="I30" s="26">
        <f t="shared" si="0"/>
        <v>1559.878</v>
      </c>
      <c r="J30" s="26">
        <v>1427.83</v>
      </c>
      <c r="K30" s="26">
        <f t="shared" si="1"/>
        <v>30.069399999999998</v>
      </c>
      <c r="L30" s="27">
        <v>22.1874</v>
      </c>
      <c r="M30" s="27">
        <v>0.1015</v>
      </c>
      <c r="N30" s="17">
        <v>2</v>
      </c>
      <c r="O30" s="17">
        <v>6</v>
      </c>
    </row>
    <row r="31" spans="2:15" ht="15.75">
      <c r="B31" s="216" t="str">
        <f>language!A156</f>
        <v>Etheen *</v>
      </c>
      <c r="C31" s="217" t="s">
        <v>1029</v>
      </c>
      <c r="D31" s="214"/>
      <c r="E31" s="214"/>
      <c r="F31" s="214"/>
      <c r="G31" s="214"/>
      <c r="H31" s="215"/>
      <c r="I31" s="26">
        <f t="shared" si="0"/>
        <v>1410.972</v>
      </c>
      <c r="J31" s="26">
        <v>1322.94</v>
      </c>
      <c r="K31" s="26">
        <f t="shared" si="1"/>
        <v>28.0536</v>
      </c>
      <c r="L31" s="27">
        <f>1322.94/59.476</f>
        <v>22.243257784652634</v>
      </c>
      <c r="M31" s="27">
        <v>0.0872</v>
      </c>
      <c r="N31" s="17">
        <v>2</v>
      </c>
      <c r="O31" s="17">
        <v>4</v>
      </c>
    </row>
    <row r="32" spans="2:15" ht="15.75">
      <c r="B32" s="101" t="str">
        <f>language!A157</f>
        <v>Ethyn *</v>
      </c>
      <c r="C32" s="102" t="s">
        <v>1029</v>
      </c>
      <c r="D32" s="38"/>
      <c r="E32" s="38"/>
      <c r="F32" s="38"/>
      <c r="G32" s="38"/>
      <c r="H32" s="39"/>
      <c r="I32" s="26">
        <f t="shared" si="0"/>
        <v>1308.276</v>
      </c>
      <c r="J32" s="26">
        <v>1264.26</v>
      </c>
      <c r="K32" s="26">
        <f t="shared" si="1"/>
        <v>26.037799999999997</v>
      </c>
      <c r="L32" s="27">
        <v>22.0425</v>
      </c>
      <c r="M32" s="27">
        <v>0.0713</v>
      </c>
      <c r="N32" s="17">
        <v>2</v>
      </c>
      <c r="O32" s="17">
        <v>2</v>
      </c>
    </row>
    <row r="33" spans="2:15" ht="15.75">
      <c r="B33" s="101" t="str">
        <f>language!A158</f>
        <v>Propaan</v>
      </c>
      <c r="C33" s="102" t="s">
        <v>1029</v>
      </c>
      <c r="D33" s="38">
        <v>0.38</v>
      </c>
      <c r="E33" s="38">
        <v>0.797</v>
      </c>
      <c r="F33" s="38"/>
      <c r="G33" s="38"/>
      <c r="H33" s="39"/>
      <c r="I33" s="26">
        <f t="shared" si="0"/>
        <v>2220.074</v>
      </c>
      <c r="J33" s="26">
        <v>2044.01</v>
      </c>
      <c r="K33" s="26">
        <f t="shared" si="1"/>
        <v>44.0962</v>
      </c>
      <c r="L33" s="27">
        <v>21.9297</v>
      </c>
      <c r="M33" s="27">
        <v>0.153</v>
      </c>
      <c r="N33" s="17">
        <v>3</v>
      </c>
      <c r="O33" s="17">
        <v>8</v>
      </c>
    </row>
    <row r="34" spans="2:15" ht="15.75">
      <c r="B34" s="101" t="str">
        <f>language!A159</f>
        <v>Propeen *</v>
      </c>
      <c r="C34" s="102" t="s">
        <v>1029</v>
      </c>
      <c r="D34" s="38"/>
      <c r="E34" s="38"/>
      <c r="F34" s="38"/>
      <c r="G34" s="38"/>
      <c r="H34" s="39"/>
      <c r="I34" s="26">
        <f t="shared" si="0"/>
        <v>2058.4880000000003</v>
      </c>
      <c r="J34" s="26">
        <v>1926.44</v>
      </c>
      <c r="K34" s="26">
        <f t="shared" si="1"/>
        <v>42.0804</v>
      </c>
      <c r="L34" s="27">
        <f>1926.44/87.607</f>
        <v>21.989567043729384</v>
      </c>
      <c r="M34" s="27">
        <v>0.1375</v>
      </c>
      <c r="N34" s="17">
        <v>3</v>
      </c>
      <c r="O34" s="17">
        <v>6</v>
      </c>
    </row>
    <row r="35" spans="2:15" ht="15.75">
      <c r="B35" s="218" t="str">
        <f>language!A160</f>
        <v>2-Methylpropaan</v>
      </c>
      <c r="C35" s="219" t="s">
        <v>1029</v>
      </c>
      <c r="D35" s="220"/>
      <c r="E35" s="220">
        <v>0.144</v>
      </c>
      <c r="F35" s="220"/>
      <c r="G35" s="220"/>
      <c r="H35" s="221"/>
      <c r="I35" s="26">
        <f t="shared" si="0"/>
        <v>2868.7599999999998</v>
      </c>
      <c r="J35" s="26">
        <v>2648.68</v>
      </c>
      <c r="K35" s="26">
        <f t="shared" si="1"/>
        <v>58.123</v>
      </c>
      <c r="L35" s="27">
        <v>21.6104</v>
      </c>
      <c r="M35" s="27">
        <v>0.2042</v>
      </c>
      <c r="N35" s="17">
        <v>4</v>
      </c>
      <c r="O35" s="17">
        <v>10</v>
      </c>
    </row>
    <row r="36" spans="2:15" ht="15.75">
      <c r="B36" s="101" t="str">
        <f>language!A161</f>
        <v>n-Butaan</v>
      </c>
      <c r="C36" s="102" t="s">
        <v>1029</v>
      </c>
      <c r="D36" s="38">
        <v>0.15</v>
      </c>
      <c r="E36" s="38">
        <v>0.149</v>
      </c>
      <c r="F36" s="38"/>
      <c r="G36" s="38"/>
      <c r="H36" s="39"/>
      <c r="I36" s="26">
        <f t="shared" si="0"/>
        <v>2877.13</v>
      </c>
      <c r="J36" s="26">
        <v>2657.05</v>
      </c>
      <c r="K36" s="26">
        <f t="shared" si="1"/>
        <v>58.123</v>
      </c>
      <c r="L36" s="27">
        <v>21.5205</v>
      </c>
      <c r="M36" s="27">
        <v>0.2112</v>
      </c>
      <c r="N36" s="17">
        <v>4</v>
      </c>
      <c r="O36" s="17">
        <v>10</v>
      </c>
    </row>
    <row r="37" spans="2:15" ht="15.75">
      <c r="B37" s="216" t="str">
        <f>language!A162</f>
        <v>Butadieen *</v>
      </c>
      <c r="C37" s="217" t="s">
        <v>1029</v>
      </c>
      <c r="D37" s="214"/>
      <c r="E37" s="214"/>
      <c r="F37" s="214"/>
      <c r="G37" s="214"/>
      <c r="H37" s="215"/>
      <c r="I37" s="26">
        <f t="shared" si="0"/>
        <v>2593.7879999999996</v>
      </c>
      <c r="J37" s="26">
        <v>2461.74</v>
      </c>
      <c r="K37" s="26">
        <f t="shared" si="1"/>
        <v>54.09139999999999</v>
      </c>
      <c r="L37" s="27">
        <f>2461.74/114.175</f>
        <v>21.56111232756733</v>
      </c>
      <c r="M37" s="27">
        <v>0.203</v>
      </c>
      <c r="N37" s="17">
        <v>4</v>
      </c>
      <c r="O37" s="17">
        <v>6</v>
      </c>
    </row>
    <row r="38" spans="2:15" ht="15.75">
      <c r="B38" s="101" t="str">
        <f>language!A163</f>
        <v>2,2-Dimethylpropaan</v>
      </c>
      <c r="C38" s="102" t="s">
        <v>1029</v>
      </c>
      <c r="D38" s="38"/>
      <c r="E38" s="52">
        <v>0.003</v>
      </c>
      <c r="F38" s="52"/>
      <c r="G38" s="38"/>
      <c r="H38" s="39"/>
      <c r="I38" s="26">
        <f t="shared" si="0"/>
        <v>3516.656</v>
      </c>
      <c r="J38" s="26">
        <v>3252.56</v>
      </c>
      <c r="K38" s="26">
        <f t="shared" si="1"/>
        <v>72.1498</v>
      </c>
      <c r="L38" s="27">
        <v>21.2866</v>
      </c>
      <c r="M38" s="27">
        <v>0.2245</v>
      </c>
      <c r="N38" s="17">
        <v>5</v>
      </c>
      <c r="O38" s="17">
        <v>12</v>
      </c>
    </row>
    <row r="39" spans="2:15" ht="15.75">
      <c r="B39" s="101" t="str">
        <f>language!A164</f>
        <v>2-Methylbutaan</v>
      </c>
      <c r="C39" s="102" t="s">
        <v>1029</v>
      </c>
      <c r="D39" s="38"/>
      <c r="E39" s="52">
        <v>0.037</v>
      </c>
      <c r="F39" s="52"/>
      <c r="G39" s="38"/>
      <c r="H39" s="39"/>
      <c r="I39" s="26">
        <f t="shared" si="0"/>
        <v>3528.156</v>
      </c>
      <c r="J39" s="26">
        <v>3264.06</v>
      </c>
      <c r="K39" s="26">
        <f t="shared" si="1"/>
        <v>72.1498</v>
      </c>
      <c r="L39" s="27">
        <v>21.0838</v>
      </c>
      <c r="M39" s="27">
        <v>0.2462</v>
      </c>
      <c r="N39" s="17">
        <v>5</v>
      </c>
      <c r="O39" s="17">
        <v>12</v>
      </c>
    </row>
    <row r="40" spans="2:15" ht="15.75">
      <c r="B40" s="101" t="str">
        <f>language!A165</f>
        <v>n-Pentaan</v>
      </c>
      <c r="C40" s="102" t="s">
        <v>1029</v>
      </c>
      <c r="D40" s="38">
        <v>0.04</v>
      </c>
      <c r="E40" s="52">
        <v>0.037</v>
      </c>
      <c r="F40" s="52"/>
      <c r="G40" s="38"/>
      <c r="H40" s="39"/>
      <c r="I40" s="26">
        <f t="shared" si="0"/>
        <v>3536.196</v>
      </c>
      <c r="J40" s="26">
        <v>3272.1</v>
      </c>
      <c r="K40" s="26">
        <f t="shared" si="1"/>
        <v>72.1498</v>
      </c>
      <c r="L40" s="27">
        <v>20.8907</v>
      </c>
      <c r="M40" s="27">
        <v>0.261</v>
      </c>
      <c r="N40" s="17">
        <v>5</v>
      </c>
      <c r="O40" s="17">
        <v>12</v>
      </c>
    </row>
    <row r="41" spans="2:15" ht="15.75">
      <c r="B41" s="218" t="str">
        <f>language!A166</f>
        <v>Cyclopentaan *</v>
      </c>
      <c r="C41" s="219" t="s">
        <v>1029</v>
      </c>
      <c r="D41" s="220"/>
      <c r="E41" s="222">
        <v>0.002</v>
      </c>
      <c r="F41" s="222"/>
      <c r="G41" s="220"/>
      <c r="H41" s="221"/>
      <c r="I41" s="26">
        <f t="shared" si="0"/>
        <v>3294.24</v>
      </c>
      <c r="J41" s="26">
        <v>3074.16</v>
      </c>
      <c r="K41" s="26">
        <f t="shared" si="1"/>
        <v>70.13399999999999</v>
      </c>
      <c r="L41" s="17">
        <v>20.5</v>
      </c>
      <c r="M41" s="17">
        <v>0.2922</v>
      </c>
      <c r="N41" s="17">
        <v>5</v>
      </c>
      <c r="O41" s="17">
        <v>10</v>
      </c>
    </row>
    <row r="42" spans="2:15" ht="15.75">
      <c r="B42" s="101" t="str">
        <f>language!A167</f>
        <v>2,2-Dimethylbutaan</v>
      </c>
      <c r="C42" s="102" t="s">
        <v>1029</v>
      </c>
      <c r="D42" s="38"/>
      <c r="E42" s="52">
        <v>0.003</v>
      </c>
      <c r="F42" s="52"/>
      <c r="G42" s="38"/>
      <c r="H42" s="39"/>
      <c r="I42" s="26">
        <f t="shared" si="0"/>
        <v>4177.892</v>
      </c>
      <c r="J42" s="26">
        <v>3869.78</v>
      </c>
      <c r="K42" s="26">
        <f t="shared" si="1"/>
        <v>86.17660000000001</v>
      </c>
      <c r="L42" s="17">
        <v>20.5</v>
      </c>
      <c r="M42" s="17">
        <v>0.291</v>
      </c>
      <c r="N42" s="17">
        <v>6</v>
      </c>
      <c r="O42" s="17">
        <v>14</v>
      </c>
    </row>
    <row r="43" spans="2:15" ht="15.75">
      <c r="B43" s="216" t="str">
        <f>language!A168</f>
        <v>2,3-Dimethylbutaan</v>
      </c>
      <c r="C43" s="217" t="s">
        <v>1029</v>
      </c>
      <c r="D43" s="214"/>
      <c r="E43" s="223">
        <v>0.017</v>
      </c>
      <c r="F43" s="223"/>
      <c r="G43" s="214"/>
      <c r="H43" s="215"/>
      <c r="I43" s="26">
        <f t="shared" si="0"/>
        <v>4185.972</v>
      </c>
      <c r="J43" s="26">
        <v>3877.86</v>
      </c>
      <c r="K43" s="26">
        <f t="shared" si="1"/>
        <v>86.17660000000001</v>
      </c>
      <c r="L43" s="17">
        <v>20.5</v>
      </c>
      <c r="M43" s="17">
        <v>0.3046</v>
      </c>
      <c r="N43" s="17">
        <v>6</v>
      </c>
      <c r="O43" s="17">
        <v>14</v>
      </c>
    </row>
    <row r="44" spans="2:15" ht="15.75">
      <c r="B44" s="101" t="str">
        <f>language!A169</f>
        <v>3-Methylpentaan</v>
      </c>
      <c r="C44" s="102" t="s">
        <v>1029</v>
      </c>
      <c r="D44" s="38"/>
      <c r="E44" s="52">
        <v>0.013</v>
      </c>
      <c r="F44" s="52"/>
      <c r="G44" s="38"/>
      <c r="H44" s="39"/>
      <c r="I44" s="26">
        <f t="shared" si="0"/>
        <v>4189.822</v>
      </c>
      <c r="J44" s="26">
        <v>3881.71</v>
      </c>
      <c r="K44" s="26">
        <f t="shared" si="1"/>
        <v>86.17660000000001</v>
      </c>
      <c r="L44" s="17">
        <v>20.5</v>
      </c>
      <c r="M44" s="17">
        <v>0.3159</v>
      </c>
      <c r="N44" s="17">
        <v>6</v>
      </c>
      <c r="O44" s="17">
        <v>14</v>
      </c>
    </row>
    <row r="45" spans="2:15" ht="15.75">
      <c r="B45" s="101" t="str">
        <f>language!A170</f>
        <v>Cyclohexaan</v>
      </c>
      <c r="C45" s="102" t="s">
        <v>1029</v>
      </c>
      <c r="D45" s="38"/>
      <c r="E45" s="52"/>
      <c r="F45" s="52"/>
      <c r="G45" s="38"/>
      <c r="H45" s="39"/>
      <c r="I45" s="26">
        <f t="shared" si="0"/>
        <v>3952.966</v>
      </c>
      <c r="J45" s="26">
        <v>3688.87</v>
      </c>
      <c r="K45" s="26">
        <f t="shared" si="1"/>
        <v>84.1608</v>
      </c>
      <c r="L45" s="17">
        <v>20.5</v>
      </c>
      <c r="M45" s="17">
        <v>0.3198</v>
      </c>
      <c r="N45" s="17">
        <v>6</v>
      </c>
      <c r="O45" s="17">
        <v>12</v>
      </c>
    </row>
    <row r="46" spans="2:15" ht="15.75">
      <c r="B46" s="101" t="str">
        <f>language!A171</f>
        <v>n-Hexaan</v>
      </c>
      <c r="C46" s="102" t="s">
        <v>1029</v>
      </c>
      <c r="D46" s="38">
        <v>0.05</v>
      </c>
      <c r="E46" s="52"/>
      <c r="F46" s="52"/>
      <c r="G46" s="38"/>
      <c r="H46" s="39"/>
      <c r="I46" s="26">
        <f t="shared" si="0"/>
        <v>4194.922</v>
      </c>
      <c r="J46" s="26">
        <v>3886.81</v>
      </c>
      <c r="K46" s="26">
        <f t="shared" si="1"/>
        <v>86.17660000000001</v>
      </c>
      <c r="L46" s="17">
        <v>20.5</v>
      </c>
      <c r="M46" s="17">
        <v>0.3317</v>
      </c>
      <c r="N46" s="17">
        <v>6</v>
      </c>
      <c r="O46" s="17">
        <v>14</v>
      </c>
    </row>
    <row r="47" spans="2:15" ht="15.75">
      <c r="B47" s="224" t="str">
        <f>language!A172</f>
        <v>Benzeen</v>
      </c>
      <c r="C47" s="225" t="s">
        <v>1029</v>
      </c>
      <c r="D47" s="226"/>
      <c r="E47" s="227">
        <v>0.046</v>
      </c>
      <c r="F47" s="227"/>
      <c r="G47" s="226"/>
      <c r="H47" s="228"/>
      <c r="I47" s="26">
        <f t="shared" si="0"/>
        <v>3301.508</v>
      </c>
      <c r="J47" s="26">
        <v>3169.46</v>
      </c>
      <c r="K47" s="26">
        <f t="shared" si="1"/>
        <v>78.1134</v>
      </c>
      <c r="L47" s="17">
        <v>20.5</v>
      </c>
      <c r="M47" s="17">
        <v>0.3017</v>
      </c>
      <c r="N47" s="17">
        <v>6</v>
      </c>
      <c r="O47" s="17">
        <v>6</v>
      </c>
    </row>
    <row r="48" spans="2:15" ht="15.75">
      <c r="B48" s="101" t="str">
        <f>language!A173</f>
        <v>2-Methylhexaan</v>
      </c>
      <c r="C48" s="102" t="s">
        <v>1029</v>
      </c>
      <c r="D48" s="38"/>
      <c r="E48" s="52">
        <v>0.001</v>
      </c>
      <c r="F48" s="52"/>
      <c r="G48" s="38"/>
      <c r="H48" s="39"/>
      <c r="I48" s="26">
        <f t="shared" si="0"/>
        <v>4846.498</v>
      </c>
      <c r="J48" s="26">
        <v>4494.37</v>
      </c>
      <c r="K48" s="26">
        <f t="shared" si="1"/>
        <v>100.2034</v>
      </c>
      <c r="L48" s="17">
        <v>20.5</v>
      </c>
      <c r="M48" s="17">
        <v>0.3926</v>
      </c>
      <c r="N48" s="17">
        <v>7</v>
      </c>
      <c r="O48" s="17">
        <v>16</v>
      </c>
    </row>
    <row r="49" spans="2:15" ht="15.75">
      <c r="B49" s="229" t="str">
        <f>language!A174</f>
        <v>3-Methylhexaan</v>
      </c>
      <c r="C49" s="230" t="s">
        <v>1029</v>
      </c>
      <c r="D49" s="231"/>
      <c r="E49" s="232">
        <v>0.004</v>
      </c>
      <c r="F49" s="232"/>
      <c r="G49" s="231"/>
      <c r="H49" s="233"/>
      <c r="I49" s="26">
        <f t="shared" si="0"/>
        <v>4849.888</v>
      </c>
      <c r="J49" s="26">
        <v>4497.76</v>
      </c>
      <c r="K49" s="26">
        <f t="shared" si="1"/>
        <v>100.2034</v>
      </c>
      <c r="L49" s="17">
        <v>20.5</v>
      </c>
      <c r="M49" s="17">
        <v>0.3928</v>
      </c>
      <c r="N49" s="17">
        <v>7</v>
      </c>
      <c r="O49" s="17">
        <v>16</v>
      </c>
    </row>
    <row r="50" spans="2:15" ht="15.75">
      <c r="B50" s="101" t="str">
        <f>language!A175</f>
        <v>n-Heptaan</v>
      </c>
      <c r="C50" s="102" t="s">
        <v>1029</v>
      </c>
      <c r="D50" s="38"/>
      <c r="E50" s="52">
        <v>0.004</v>
      </c>
      <c r="F50" s="52"/>
      <c r="G50" s="38"/>
      <c r="H50" s="39"/>
      <c r="I50" s="26">
        <f t="shared" si="0"/>
        <v>4853.567999999999</v>
      </c>
      <c r="J50" s="26">
        <v>4501.44</v>
      </c>
      <c r="K50" s="26">
        <f t="shared" si="1"/>
        <v>100.2034</v>
      </c>
      <c r="L50" s="17">
        <v>20.5</v>
      </c>
      <c r="M50" s="17">
        <v>0.4141</v>
      </c>
      <c r="N50" s="17">
        <v>7</v>
      </c>
      <c r="O50" s="17">
        <v>16</v>
      </c>
    </row>
    <row r="51" spans="2:15" ht="15.75">
      <c r="B51" s="101" t="str">
        <f>language!A176</f>
        <v>Methylcyclohexaan</v>
      </c>
      <c r="C51" s="102" t="s">
        <v>1029</v>
      </c>
      <c r="D51" s="38"/>
      <c r="E51" s="52">
        <v>0.004</v>
      </c>
      <c r="F51" s="52"/>
      <c r="G51" s="38"/>
      <c r="H51" s="39"/>
      <c r="I51" s="26">
        <f t="shared" si="0"/>
        <v>4600.682</v>
      </c>
      <c r="J51" s="26">
        <v>4292.57</v>
      </c>
      <c r="K51" s="26">
        <f t="shared" si="1"/>
        <v>98.1876</v>
      </c>
      <c r="L51" s="17">
        <v>20.5</v>
      </c>
      <c r="M51" s="17">
        <v>0.3897</v>
      </c>
      <c r="N51" s="17">
        <v>7</v>
      </c>
      <c r="O51" s="17">
        <v>14</v>
      </c>
    </row>
    <row r="52" spans="2:15" ht="15.75">
      <c r="B52" s="101" t="str">
        <f>language!A177</f>
        <v>Tolueen</v>
      </c>
      <c r="C52" s="102" t="s">
        <v>1029</v>
      </c>
      <c r="D52" s="38"/>
      <c r="E52" s="52">
        <v>0.002</v>
      </c>
      <c r="F52" s="52"/>
      <c r="G52" s="38"/>
      <c r="H52" s="39"/>
      <c r="I52" s="26">
        <f t="shared" si="0"/>
        <v>3947.944</v>
      </c>
      <c r="J52" s="26">
        <v>3771.88</v>
      </c>
      <c r="K52" s="26">
        <f t="shared" si="1"/>
        <v>92.1402</v>
      </c>
      <c r="L52" s="17">
        <v>20.5</v>
      </c>
      <c r="M52" s="17">
        <v>0.3901</v>
      </c>
      <c r="N52" s="17">
        <v>7</v>
      </c>
      <c r="O52" s="17">
        <v>8</v>
      </c>
    </row>
    <row r="53" spans="2:15" ht="15.75">
      <c r="B53" s="218" t="str">
        <f>language!A178</f>
        <v>2-Methylheptaan *</v>
      </c>
      <c r="C53" s="219" t="s">
        <v>1029</v>
      </c>
      <c r="D53" s="220"/>
      <c r="E53" s="222"/>
      <c r="F53" s="222"/>
      <c r="G53" s="220"/>
      <c r="H53" s="221"/>
      <c r="I53" s="26">
        <f t="shared" si="0"/>
        <v>5504.714</v>
      </c>
      <c r="J53" s="26">
        <v>5108.57</v>
      </c>
      <c r="K53" s="26">
        <f t="shared" si="1"/>
        <v>114.2302</v>
      </c>
      <c r="L53" s="17">
        <v>20.5</v>
      </c>
      <c r="M53" s="17">
        <v>0.4955</v>
      </c>
      <c r="N53" s="17">
        <v>8</v>
      </c>
      <c r="O53" s="17">
        <v>18</v>
      </c>
    </row>
    <row r="54" spans="2:15" ht="15.75">
      <c r="B54" s="101" t="str">
        <f>language!A179</f>
        <v>2,2,4-Trimethylpentaan</v>
      </c>
      <c r="C54" s="102" t="s">
        <v>1029</v>
      </c>
      <c r="D54" s="38"/>
      <c r="E54" s="52"/>
      <c r="F54" s="52"/>
      <c r="G54" s="38"/>
      <c r="H54" s="39"/>
      <c r="I54" s="26">
        <f t="shared" si="0"/>
        <v>5496.524</v>
      </c>
      <c r="J54" s="26">
        <v>5100.38</v>
      </c>
      <c r="K54" s="26">
        <f t="shared" si="1"/>
        <v>114.2302</v>
      </c>
      <c r="L54" s="17">
        <v>20.5</v>
      </c>
      <c r="M54" s="17">
        <v>0.4196</v>
      </c>
      <c r="N54" s="17">
        <v>8</v>
      </c>
      <c r="O54" s="17">
        <v>18</v>
      </c>
    </row>
    <row r="55" spans="2:15" ht="15.75">
      <c r="B55" s="216" t="str">
        <f>language!A180</f>
        <v>n-Octaan</v>
      </c>
      <c r="C55" s="217" t="s">
        <v>1029</v>
      </c>
      <c r="D55" s="214"/>
      <c r="E55" s="223">
        <v>0.001</v>
      </c>
      <c r="F55" s="223"/>
      <c r="G55" s="214"/>
      <c r="H55" s="215"/>
      <c r="I55" s="26">
        <f t="shared" si="0"/>
        <v>5511.714</v>
      </c>
      <c r="J55" s="26">
        <v>5115.57</v>
      </c>
      <c r="K55" s="26">
        <f t="shared" si="1"/>
        <v>114.2302</v>
      </c>
      <c r="L55" s="17">
        <v>20.5</v>
      </c>
      <c r="M55" s="17">
        <v>0.5126</v>
      </c>
      <c r="N55" s="17">
        <v>8</v>
      </c>
      <c r="O55" s="17">
        <v>18</v>
      </c>
    </row>
    <row r="56" spans="2:11" ht="15.75">
      <c r="B56" s="101" t="str">
        <f>language!A181</f>
        <v>Totaal</v>
      </c>
      <c r="C56" s="102" t="s">
        <v>1029</v>
      </c>
      <c r="D56" s="117">
        <f>SUM(D20:D55)/100</f>
        <v>1.0000000000000002</v>
      </c>
      <c r="E56" s="117">
        <f>SUM(E20:E55)/100</f>
        <v>1.0000100000000003</v>
      </c>
      <c r="F56" s="117">
        <f>SUM(F20:F55)/100</f>
        <v>0</v>
      </c>
      <c r="G56" s="117">
        <f>SUM(G20:G55)/100</f>
        <v>0</v>
      </c>
      <c r="H56" s="118">
        <f>SUM(H20:H55)/100</f>
        <v>0</v>
      </c>
      <c r="J56" s="26"/>
      <c r="K56" s="26"/>
    </row>
    <row r="57" spans="2:18" ht="15.75">
      <c r="B57" s="103" t="str">
        <f>language!A182</f>
        <v>(*: verbinding niet genoemd in ISO 6976)</v>
      </c>
      <c r="C57" s="104"/>
      <c r="D57" s="119"/>
      <c r="E57" s="119"/>
      <c r="F57" s="119"/>
      <c r="G57" s="119"/>
      <c r="H57" s="120"/>
      <c r="I57" s="27"/>
      <c r="K57" s="28"/>
      <c r="N57" s="27" t="s">
        <v>14</v>
      </c>
      <c r="O57" s="27"/>
      <c r="P57" s="27"/>
      <c r="Q57" s="27"/>
      <c r="R57" s="27"/>
    </row>
    <row r="58" spans="2:18" ht="15.75">
      <c r="B58" s="99" t="str">
        <f>language!A184</f>
        <v>mol C/mol</v>
      </c>
      <c r="C58" s="100"/>
      <c r="D58" s="121">
        <f>IF($A1=1,IF(D63="","",SUMPRODUCT(D20:D55,$N$20:$N$55)/100),"")</f>
        <v>0.9016</v>
      </c>
      <c r="E58" s="121">
        <f>IF($A1=1,IF(E63="","",SUMPRODUCT(E20:E55,$N$20:$N$55)/100),"")</f>
        <v>1.0453400000000004</v>
      </c>
      <c r="F58" s="121">
        <f>IF($A1=1,IF(F63="","",SUMPRODUCT(F20:F55,$N$20:$N$55)/100),"")</f>
      </c>
      <c r="G58" s="121">
        <f>IF($A1=1,IF(G63="","",SUMPRODUCT(G20:G55,$N$20:$N$55)/100),"")</f>
      </c>
      <c r="H58" s="122">
        <f>IF($A1=1,IF(H63="","",SUMPRODUCT(H20:H55,$N$20:$N$55)/100),"")</f>
      </c>
      <c r="I58" s="27"/>
      <c r="K58" s="28"/>
      <c r="N58" s="27"/>
      <c r="O58" s="27"/>
      <c r="P58" s="27"/>
      <c r="Q58" s="27"/>
      <c r="R58" s="27"/>
    </row>
    <row r="59" spans="2:18" ht="15.75">
      <c r="B59" s="101" t="str">
        <f>language!A185</f>
        <v>mol H/mol</v>
      </c>
      <c r="C59" s="102"/>
      <c r="D59" s="123">
        <f>IF(D58="","",SUMPRODUCT(D20:D55,$O$20:$O$55)/100)</f>
        <v>3.4810000000000003</v>
      </c>
      <c r="E59" s="123">
        <f>IF(E58="","",SUMPRODUCT(E20:E55,$O$20:$O$55)/100)</f>
        <v>3.9545800000000004</v>
      </c>
      <c r="F59" s="123">
        <f>IF(F58="","",SUMPRODUCT(F20:F55,$O$20:$O$55)/100)</f>
      </c>
      <c r="G59" s="123">
        <f>IF(G58="","",SUMPRODUCT(G20:G55,$O$20:$O$55)/100)</f>
      </c>
      <c r="H59" s="124">
        <f>IF(H58="","",SUMPRODUCT(H20:H55,$O$20:$O$55)/100)</f>
      </c>
      <c r="I59" s="27"/>
      <c r="K59" s="28"/>
      <c r="N59" s="27"/>
      <c r="O59" s="27"/>
      <c r="P59" s="27"/>
      <c r="Q59" s="27"/>
      <c r="R59" s="27"/>
    </row>
    <row r="60" spans="2:18" ht="15.75">
      <c r="B60" s="101" t="str">
        <f>language!A186</f>
        <v>mol O/mol</v>
      </c>
      <c r="C60" s="102"/>
      <c r="D60" s="123">
        <f>IF(D58="","",SUMPRODUCT(D20:D55,$P$20:$P$55)/100)</f>
        <v>0.018000000000000002</v>
      </c>
      <c r="E60" s="123">
        <f>IF(E58="","",SUMPRODUCT(E20:E55,$P$20:$P$55)/100)</f>
        <v>0.03422</v>
      </c>
      <c r="F60" s="123">
        <f>IF(F58="","",SUMPRODUCT(F20:F55,$P$20:$P$55)/100)</f>
      </c>
      <c r="G60" s="123">
        <f>IF(G58="","",SUMPRODUCT(G20:G55,$P$20:$P$55)/100)</f>
      </c>
      <c r="H60" s="124">
        <f>IF(H58="","",SUMPRODUCT(H20:H55,$P$20:$P$55)/100)</f>
      </c>
      <c r="I60" s="27"/>
      <c r="K60" s="28"/>
      <c r="N60" s="27"/>
      <c r="O60" s="27"/>
      <c r="P60" s="27"/>
      <c r="Q60" s="27"/>
      <c r="R60" s="27"/>
    </row>
    <row r="61" spans="2:18" ht="15.75">
      <c r="B61" s="101" t="str">
        <f>language!A187</f>
        <v>mol N/mol</v>
      </c>
      <c r="C61" s="102"/>
      <c r="D61" s="123">
        <f>IF(D58="","",SUMPRODUCT(D20:D55,$Q$20:$Q$55)/100)</f>
        <v>0.2864</v>
      </c>
      <c r="E61" s="123">
        <f>IF(E58="","",SUMPRODUCT(E20:E55,$Q$20:$Q$55)/100)</f>
        <v>0.06242</v>
      </c>
      <c r="F61" s="123">
        <f>IF(F58="","",SUMPRODUCT(F20:F55,$Q$20:$Q$55)/100)</f>
      </c>
      <c r="G61" s="123">
        <f>IF(G58="","",SUMPRODUCT(G20:G55,$Q$20:$Q$55)/100)</f>
      </c>
      <c r="H61" s="124">
        <f>IF(H58="","",SUMPRODUCT(H20:H55,$Q$20:$Q$55)/100)</f>
      </c>
      <c r="I61" s="27"/>
      <c r="K61" s="28"/>
      <c r="N61" s="27"/>
      <c r="O61" s="27"/>
      <c r="P61" s="27"/>
      <c r="Q61" s="27"/>
      <c r="R61" s="27"/>
    </row>
    <row r="62" spans="2:18" ht="15.75">
      <c r="B62" s="103" t="str">
        <f>language!A188</f>
        <v>mol S/mol</v>
      </c>
      <c r="C62" s="104"/>
      <c r="D62" s="119">
        <f>IF(D58="","",SUMPRODUCT(D20:D55,$R$20:$R$55)/100)</f>
        <v>0</v>
      </c>
      <c r="E62" s="119">
        <f>IF(E58="","",SUMPRODUCT(E20:E55,$R$20:$R$55)/100)</f>
        <v>0</v>
      </c>
      <c r="F62" s="119">
        <f>IF(F58="","",SUMPRODUCT(F20:F55,$R$20:$R$55)/100)</f>
      </c>
      <c r="G62" s="119">
        <f>IF(G58="","",SUMPRODUCT(G20:G55,$R$20:$R$55)/100)</f>
      </c>
      <c r="H62" s="120">
        <f>IF(H58="","",SUMPRODUCT(H20:H55,$R$20:$R$55)/100)</f>
      </c>
      <c r="I62" s="27"/>
      <c r="K62" s="28"/>
      <c r="N62" s="27"/>
      <c r="O62" s="27"/>
      <c r="P62" s="27"/>
      <c r="Q62" s="27"/>
      <c r="R62" s="27"/>
    </row>
    <row r="63" spans="2:18" ht="15.75">
      <c r="B63" s="101" t="str">
        <f>language!A35</f>
        <v>Bovenste verbrandingswaarde</v>
      </c>
      <c r="C63" s="102" t="str">
        <f>language!A74</f>
        <v>MJ/kmol</v>
      </c>
      <c r="D63" s="125">
        <f>IF($A1=1,IF(SUMPRODUCT(D20:D55,$I$20:$I$55)=0,"",SUMPRODUCT(D20:D55,$I$20:$I$55)/100),"")</f>
        <v>784.799555</v>
      </c>
      <c r="E63" s="125">
        <f>IF($A1=1,IF(SUMPRODUCT(E20:E55,$I$20:$I$55)=0,"",SUMPRODUCT(E20:E55,$I$20:$I$55)/100),"")</f>
        <v>897.7720323400001</v>
      </c>
      <c r="F63" s="125">
        <f>IF($A1=1,IF(SUMPRODUCT(F20:F55,$I$20:$I$55)=0,"",SUMPRODUCT(F20:F55,$I$20:$I$55)/100),"")</f>
      </c>
      <c r="G63" s="125">
        <f>IF($A1=1,IF(SUMPRODUCT(G20:G55,$I$20:$I$55)=0,"",SUMPRODUCT(G20:G55,$I$20:$I$55)/100),"")</f>
      </c>
      <c r="H63" s="126">
        <f>IF($A1=1,IF(SUMPRODUCT(H20:H55,$I$20:$I$55)=0,"",SUMPRODUCT(H20:H55,$I$20:$I$55)/100),"")</f>
      </c>
      <c r="I63" s="27"/>
      <c r="K63" s="28"/>
      <c r="N63" s="27"/>
      <c r="O63" s="27"/>
      <c r="P63" s="27"/>
      <c r="Q63" s="27"/>
      <c r="R63" s="27"/>
    </row>
    <row r="64" spans="2:18" ht="15.75">
      <c r="B64" s="101"/>
      <c r="C64" s="102" t="str">
        <f>C3</f>
        <v>kJ/Nm3</v>
      </c>
      <c r="D64" s="125">
        <f>IF(D63="","",D63/D70)</f>
        <v>35.094354942641466</v>
      </c>
      <c r="E64" s="125">
        <f>IF(E63="","",E63/E70)</f>
        <v>40.16541157942081</v>
      </c>
      <c r="F64" s="125">
        <f>IF(F63="","",F63/F70)</f>
      </c>
      <c r="G64" s="125">
        <f>IF(G63="","",G63/G70)</f>
      </c>
      <c r="H64" s="126">
        <f>IF(H63="","",H63/H70)</f>
      </c>
      <c r="I64" s="27"/>
      <c r="K64" s="28"/>
      <c r="N64" s="27"/>
      <c r="O64" s="27"/>
      <c r="P64" s="27"/>
      <c r="Q64" s="27"/>
      <c r="R64" s="27"/>
    </row>
    <row r="65" spans="2:18" ht="15.75">
      <c r="B65" s="101" t="str">
        <f>language!A36</f>
        <v>Wobbe-index</v>
      </c>
      <c r="C65" s="102" t="str">
        <f>C64</f>
        <v>kJ/Nm3</v>
      </c>
      <c r="D65" s="125">
        <f>IF(D64="","",D64/SQRT(D73))</f>
        <v>43.70619118844945</v>
      </c>
      <c r="E65" s="125">
        <f>IF(E64="","",E64/SQRT(E73))</f>
        <v>50.933430463527955</v>
      </c>
      <c r="F65" s="125">
        <f>IF(F64="","",F64/SQRT(F73))</f>
      </c>
      <c r="G65" s="125">
        <f>IF(G64="","",G64/SQRT(G73))</f>
      </c>
      <c r="H65" s="126">
        <f>IF(H64="","",H64/SQRT(H73))</f>
      </c>
      <c r="I65" s="27"/>
      <c r="K65" s="28"/>
      <c r="N65" s="27"/>
      <c r="O65" s="27"/>
      <c r="P65" s="27"/>
      <c r="Q65" s="27"/>
      <c r="R65" s="27"/>
    </row>
    <row r="66" spans="2:18" ht="15.75">
      <c r="B66" s="101" t="str">
        <f>language!A34</f>
        <v>Onderste verbrandingswaarde</v>
      </c>
      <c r="C66" s="102" t="str">
        <f>C63</f>
        <v>MJ/kmol</v>
      </c>
      <c r="D66" s="125">
        <f>IF(D63="","",SUMPRODUCT(D20:D55,$J$20:$J$55)/100)</f>
        <v>708.1897070000002</v>
      </c>
      <c r="E66" s="125">
        <f>IF(E63="","",SUMPRODUCT(E20:E55,$J$20:$J$55)/100)</f>
        <v>810.7396356999999</v>
      </c>
      <c r="F66" s="125">
        <f>IF(F63="","",SUMPRODUCT(F20:F55,$J$20:$J$55)/100)</f>
      </c>
      <c r="G66" s="125">
        <f>IF(G63="","",SUMPRODUCT(G20:G55,$J$20:$J$55)/100)</f>
      </c>
      <c r="H66" s="126">
        <f>IF(H63="","",SUMPRODUCT(H20:H55,$J$20:$J$55)/100)</f>
      </c>
      <c r="I66" s="28"/>
      <c r="K66" s="28"/>
      <c r="N66" s="27"/>
      <c r="O66" s="27"/>
      <c r="P66" s="27"/>
      <c r="Q66" s="27"/>
      <c r="R66" s="27"/>
    </row>
    <row r="67" spans="2:18" ht="15.75">
      <c r="B67" s="101"/>
      <c r="C67" s="102" t="str">
        <f>C65</f>
        <v>kJ/Nm3</v>
      </c>
      <c r="D67" s="125">
        <f>IF(D66="","",D66/D70)</f>
        <v>31.668546173147696</v>
      </c>
      <c r="E67" s="125">
        <f>IF(E66="","",E66/E70)</f>
        <v>36.27167028890894</v>
      </c>
      <c r="F67" s="125">
        <f>IF(F66="","",F66/F70)</f>
      </c>
      <c r="G67" s="125">
        <f>IF(G66="","",G66/G70)</f>
      </c>
      <c r="H67" s="126">
        <f>IF(H66="","",H66/H70)</f>
      </c>
      <c r="I67" s="28"/>
      <c r="K67" s="28"/>
      <c r="N67" s="27"/>
      <c r="O67" s="27"/>
      <c r="P67" s="27"/>
      <c r="Q67" s="27"/>
      <c r="R67" s="27"/>
    </row>
    <row r="68" spans="2:18" ht="15.75">
      <c r="B68" s="101" t="str">
        <f>language!A189</f>
        <v>Molgewicht</v>
      </c>
      <c r="C68" s="102"/>
      <c r="D68" s="125">
        <f>IF(D63="","",SUMPRODUCT(D20:D55,$K$20:$K$55)/100)</f>
        <v>18.637125580000003</v>
      </c>
      <c r="E68" s="125">
        <f>IF(E63="","",SUMPRODUCT(E20:E55,$K$20:$K$55)/100)</f>
        <v>17.965799294000004</v>
      </c>
      <c r="F68" s="125">
        <f>IF(F63="","",SUMPRODUCT(F20:F55,$K$20:$K$55)/100)</f>
      </c>
      <c r="G68" s="125">
        <f>IF(G63="","",SUMPRODUCT(G20:G55,$K$20:$K$55)/100)</f>
      </c>
      <c r="H68" s="126">
        <f>IF(H63="","",SUMPRODUCT(H20:H55,$K$20:$K$55)/100)</f>
      </c>
      <c r="I68" s="28"/>
      <c r="K68" s="28"/>
      <c r="N68" s="27"/>
      <c r="O68" s="27"/>
      <c r="P68" s="27"/>
      <c r="Q68" s="27"/>
      <c r="R68" s="27"/>
    </row>
    <row r="69" spans="2:18" ht="15.75">
      <c r="B69" s="101" t="str">
        <f>language!A190</f>
        <v>Compressibiliteit</v>
      </c>
      <c r="C69" s="102"/>
      <c r="D69" s="123">
        <f>IF(D63="","",1-(SUMPRODUCT(D20:D55,$M$20:$M$55)/100)^2+0.0005*(0.02*D23-D23*D23/10000))</f>
        <v>0.9977227309738524</v>
      </c>
      <c r="E69" s="123">
        <f>IF(E63="","",1-(SUMPRODUCT(E20:E55,$M$20:$M$55)/100)^2+0.0005*(0.02*E23-E23*E23/10000))</f>
        <v>0.9972458399436716</v>
      </c>
      <c r="F69" s="123">
        <f>IF(F63="","",1-(SUMPRODUCT(F20:F55,$M$20:$M$55)/100)^2+0.0005*(0.02*F23-F23*F23/10000))</f>
      </c>
      <c r="G69" s="123">
        <f>IF(G63="","",1-(SUMPRODUCT(G20:G55,$M$20:$M$55)/100)^2+0.0005*(0.02*G23-G23*G23/10000))</f>
      </c>
      <c r="H69" s="124">
        <f>IF(H63="","",1-(SUMPRODUCT(H20:H55,$M$20:$M$55)/100)^2+0.0005*(0.02*H23-H23*H23/10000))</f>
      </c>
      <c r="I69" s="27"/>
      <c r="K69" s="28"/>
      <c r="N69" s="27"/>
      <c r="O69" s="27"/>
      <c r="P69" s="27"/>
      <c r="Q69" s="27"/>
      <c r="R69" s="27"/>
    </row>
    <row r="70" spans="2:18" ht="15.75">
      <c r="B70" s="101" t="str">
        <f>language!A191</f>
        <v>Molair volume op basis van compressibiliteit</v>
      </c>
      <c r="C70" s="102"/>
      <c r="D70" s="125">
        <f>IF(D69="","",D69*22.4136)</f>
        <v>22.362558202955537</v>
      </c>
      <c r="E70" s="125">
        <f>IF(E69="","",E69*22.4136)</f>
        <v>22.351869358161476</v>
      </c>
      <c r="F70" s="125">
        <f>IF(F69="","",F69*22.4136)</f>
      </c>
      <c r="G70" s="125">
        <f>IF(G69="","",G69*22.4136)</f>
      </c>
      <c r="H70" s="126">
        <f>IF(H69="","",H69*22.4136)</f>
      </c>
      <c r="I70" s="28"/>
      <c r="K70" s="28"/>
      <c r="N70" s="27"/>
      <c r="O70" s="27"/>
      <c r="P70" s="27"/>
      <c r="Q70" s="27"/>
      <c r="R70" s="27"/>
    </row>
    <row r="71" spans="2:18" ht="15.75">
      <c r="B71" s="101" t="str">
        <f>language!A192</f>
        <v>,,  ,, op individuele molaire volumes</v>
      </c>
      <c r="C71" s="102"/>
      <c r="D71" s="125">
        <f>IF(D63="","",SUMPRODUCT(D20:D55,$L$20:$L$55)/100)</f>
        <v>22.35588159</v>
      </c>
      <c r="E71" s="125">
        <f>IF(E63="","",SUMPRODUCT(E20:E55,$L$20:$L$55)/100)</f>
        <v>22.343408773</v>
      </c>
      <c r="F71" s="125">
        <f>IF(F63="","",SUMPRODUCT(F20:F55,$L$20:$L$55)/100)</f>
      </c>
      <c r="G71" s="125">
        <f>IF(G63="","",SUMPRODUCT(G20:G55,$L$20:$L$55)/100)</f>
      </c>
      <c r="H71" s="126">
        <f>IF(H63="","",SUMPRODUCT(H20:H55,$L$20:$L$55)/100)</f>
      </c>
      <c r="I71" s="28"/>
      <c r="K71" s="28"/>
      <c r="N71" s="27"/>
      <c r="O71" s="27"/>
      <c r="P71" s="27"/>
      <c r="Q71" s="27"/>
      <c r="R71" s="27"/>
    </row>
    <row r="72" spans="2:18" ht="15.75">
      <c r="B72" s="101" t="str">
        <f>language!A193</f>
        <v>Dichtheid</v>
      </c>
      <c r="C72" s="102" t="str">
        <f>language!A78</f>
        <v>kg/Nm3</v>
      </c>
      <c r="D72" s="123">
        <f>IF(D71="","",D68/D71)</f>
        <v>0.8336564811801727</v>
      </c>
      <c r="E72" s="123">
        <f>IF(E71="","",E68/E71)</f>
        <v>0.804076024232706</v>
      </c>
      <c r="F72" s="123">
        <f>IF(F71="","",F68/F71)</f>
      </c>
      <c r="G72" s="123">
        <f>IF(G71="","",G68/G71)</f>
      </c>
      <c r="H72" s="124">
        <f>IF(H71="","",H68/H71)</f>
      </c>
      <c r="I72" s="27"/>
      <c r="K72" s="28"/>
      <c r="N72" s="27"/>
      <c r="O72" s="27"/>
      <c r="P72" s="27"/>
      <c r="Q72" s="27"/>
      <c r="R72" s="27"/>
    </row>
    <row r="73" spans="2:18" ht="15.75">
      <c r="B73" s="103" t="str">
        <f>language!A194</f>
        <v>Relatieve dichtheid</v>
      </c>
      <c r="C73" s="104"/>
      <c r="D73" s="119">
        <f>IF(D72="","",D72/1.293)</f>
        <v>0.6447459251200098</v>
      </c>
      <c r="E73" s="119">
        <f>IF(E72="","",E72/1.293)</f>
        <v>0.6218685415566172</v>
      </c>
      <c r="F73" s="119">
        <f>IF(F72="","",F72/1.293)</f>
      </c>
      <c r="G73" s="119">
        <f>IF(G72="","",G72/1.293)</f>
      </c>
      <c r="H73" s="120">
        <f>IF(H72="","",H72/1.293)</f>
      </c>
      <c r="I73" s="27"/>
      <c r="K73" s="28"/>
      <c r="N73" s="27"/>
      <c r="O73" s="27"/>
      <c r="P73" s="27"/>
      <c r="Q73" s="27"/>
      <c r="R73" s="27"/>
    </row>
    <row r="74" spans="2:18" ht="15.75">
      <c r="B74" s="101" t="str">
        <f>language!A195</f>
        <v>Stoichiometrisch verbranding</v>
      </c>
      <c r="C74" s="102"/>
      <c r="D74" s="123"/>
      <c r="E74" s="123"/>
      <c r="F74" s="123"/>
      <c r="G74" s="123"/>
      <c r="H74" s="124"/>
      <c r="I74" s="27"/>
      <c r="K74" s="28"/>
      <c r="N74" s="27"/>
      <c r="O74" s="27"/>
      <c r="P74" s="27"/>
      <c r="Q74" s="27"/>
      <c r="R74" s="27"/>
    </row>
    <row r="75" spans="2:18" ht="15.75">
      <c r="B75" s="101" t="str">
        <f>language!A196</f>
        <v>Zuurstofverbruik (mol/mol)</v>
      </c>
      <c r="C75" s="102"/>
      <c r="D75" s="123">
        <f>IF(D63="","",(D58+D59/4-D60/2+D62))</f>
        <v>1.7628500000000003</v>
      </c>
      <c r="E75" s="123">
        <f>IF(E63="","",(E58+E59/4-E60/2+E62))</f>
        <v>2.016875</v>
      </c>
      <c r="F75" s="123">
        <f>IF(F63="","",(F58+F59/4-F60/2+F62))</f>
      </c>
      <c r="G75" s="123">
        <f>IF(G63="","",(G58+G59/4-G60/2+G62))</f>
      </c>
      <c r="H75" s="124">
        <f>IF(H63="","",(H58+H59/4-H60/2+H62))</f>
      </c>
      <c r="I75" s="27"/>
      <c r="K75" s="28"/>
      <c r="N75" s="27"/>
      <c r="O75" s="27"/>
      <c r="P75" s="27"/>
      <c r="Q75" s="27"/>
      <c r="R75" s="27"/>
    </row>
    <row r="76" spans="2:18" ht="15.75">
      <c r="B76" s="101" t="str">
        <f>language!A154</f>
        <v>Koolstofdioxide</v>
      </c>
      <c r="C76" s="102" t="str">
        <f>C9</f>
        <v>Nm3/Nm3</v>
      </c>
      <c r="D76" s="123">
        <f>IF(D58="","",D58*$L$29/D$70)</f>
        <v>0.8969047091110158</v>
      </c>
      <c r="E76" s="123">
        <f>IF(E58="","",E58*$L$29/E$70)</f>
        <v>1.0403934365117815</v>
      </c>
      <c r="F76" s="123">
        <f>IF(F58="","",F58*$L$29/F$70)</f>
      </c>
      <c r="G76" s="123">
        <f>IF(G58="","",G58*$L$29/G$70)</f>
      </c>
      <c r="H76" s="124">
        <f>IF(H58="","",H58*$L$29/H$70)</f>
      </c>
      <c r="I76" s="27"/>
      <c r="K76" s="28"/>
      <c r="N76" s="27"/>
      <c r="O76" s="27"/>
      <c r="P76" s="27"/>
      <c r="Q76" s="27"/>
      <c r="R76" s="27"/>
    </row>
    <row r="77" spans="2:18" ht="15.75">
      <c r="B77" s="101" t="str">
        <f>language!A149</f>
        <v>Waterdamp</v>
      </c>
      <c r="C77" s="102" t="str">
        <f aca="true" t="shared" si="2" ref="C77:C82">C76</f>
        <v>Nm3/Nm3</v>
      </c>
      <c r="D77" s="123">
        <f>IF(D59="","",D59/2*$L$24/D70)</f>
        <v>1.6834064402803717</v>
      </c>
      <c r="E77" s="123">
        <f>IF(E59="","",E59/2*$L$24/E70)</f>
        <v>1.9133435653508015</v>
      </c>
      <c r="F77" s="123">
        <f>IF(F59="","",F59/2*$L$24/F70)</f>
      </c>
      <c r="G77" s="123">
        <f>IF(G59="","",G59/2*$L$24/G70)</f>
      </c>
      <c r="H77" s="124">
        <f>IF(H59="","",H59/2*$L$24/H70)</f>
      </c>
      <c r="I77" s="27"/>
      <c r="K77" s="28"/>
      <c r="N77" s="27"/>
      <c r="O77" s="27"/>
      <c r="P77" s="27"/>
      <c r="Q77" s="27"/>
      <c r="R77" s="27"/>
    </row>
    <row r="78" spans="2:18" ht="15.75">
      <c r="B78" s="101" t="str">
        <f>language!A143</f>
        <v>Brandstofstikstof</v>
      </c>
      <c r="C78" s="102" t="str">
        <f t="shared" si="2"/>
        <v>Nm3/Nm3</v>
      </c>
      <c r="D78" s="123">
        <f>IF(D61="","",D61/2*$L$25/D70)</f>
        <v>0.1434634539967788</v>
      </c>
      <c r="E78" s="123">
        <f>IF(E61="","",E61/2*$L$25/E70)</f>
        <v>0.03128237132187289</v>
      </c>
      <c r="F78" s="123">
        <f>IF(F61="","",F61/2*$L$25/F70)</f>
      </c>
      <c r="G78" s="123">
        <f>IF(G61="","",G61/2*$L$25/G70)</f>
      </c>
      <c r="H78" s="124">
        <f>IF(H61="","",H61/2*$L$25/H70)</f>
      </c>
      <c r="I78" s="27"/>
      <c r="K78" s="28"/>
      <c r="N78" s="27"/>
      <c r="O78" s="27"/>
      <c r="P78" s="27"/>
      <c r="Q78" s="27"/>
      <c r="R78" s="27"/>
    </row>
    <row r="79" spans="2:18" ht="15.75">
      <c r="B79" s="101" t="str">
        <f>language!A183</f>
        <v>Zwaveldioxide</v>
      </c>
      <c r="C79" s="102" t="str">
        <f t="shared" si="2"/>
        <v>Nm3/Nm3</v>
      </c>
      <c r="D79" s="123">
        <f>IF(D62="","",D62*22.4/D70)</f>
        <v>0</v>
      </c>
      <c r="E79" s="123">
        <f>IF(E62="","",E62*22.4/E70)</f>
        <v>0</v>
      </c>
      <c r="F79" s="123">
        <f>IF(F62="","",F62*22.4/F70)</f>
      </c>
      <c r="G79" s="123">
        <f>IF(G62="","",G62*22.4/G70)</f>
      </c>
      <c r="H79" s="124">
        <f>IF(H62="","",H62*22.4/H70)</f>
      </c>
      <c r="I79" s="27"/>
      <c r="K79" s="28"/>
      <c r="N79" s="27"/>
      <c r="O79" s="27"/>
      <c r="P79" s="27"/>
      <c r="Q79" s="27"/>
      <c r="R79" s="27"/>
    </row>
    <row r="80" spans="2:18" ht="15.75">
      <c r="B80" s="101" t="str">
        <f>language!A43</f>
        <v>Droog luchtverbruik</v>
      </c>
      <c r="C80" s="102" t="str">
        <f t="shared" si="2"/>
        <v>Nm3/Nm3</v>
      </c>
      <c r="D80" s="123">
        <f>IF(D75="","",D75/0.2095*22.4003/D70)</f>
        <v>8.428759913873948</v>
      </c>
      <c r="E80" s="123">
        <f>IF(E75="","",E75/0.2095*22.4003/E70)</f>
        <v>9.647947682313632</v>
      </c>
      <c r="F80" s="123">
        <f>IF(F75="","",F75/0.2095*22.4003/F70)</f>
      </c>
      <c r="G80" s="123">
        <f>IF(G75="","",G75/0.2095*22.4003/G70)</f>
      </c>
      <c r="H80" s="124">
        <f>IF(H75="","",H75/0.2095*22.4003/H70)</f>
      </c>
      <c r="I80" s="27"/>
      <c r="K80" s="28"/>
      <c r="N80" s="27"/>
      <c r="O80" s="27"/>
      <c r="P80" s="27"/>
      <c r="Q80" s="27"/>
      <c r="R80" s="27"/>
    </row>
    <row r="81" spans="2:18" ht="15.75">
      <c r="B81" s="101" t="str">
        <f>language!A57</f>
        <v>Rookgasdebiet (droog)</v>
      </c>
      <c r="C81" s="102" t="str">
        <f t="shared" si="2"/>
        <v>Nm3/Nm3</v>
      </c>
      <c r="D81" s="123">
        <f>IF(D80="","",D80*(1-0.2095)+D76+D78+D79)</f>
        <v>7.70330287502515</v>
      </c>
      <c r="E81" s="123">
        <f>IF(E80="","",E80*(1-0.2095)+E76+E78+E79)</f>
        <v>8.698378450702581</v>
      </c>
      <c r="F81" s="123">
        <f>IF(F80="","",F80*(1-0.2095)+F76+F78+F79)</f>
      </c>
      <c r="G81" s="123">
        <f>IF(G80="","",G80*(1-0.2095)+G76+G78+G79)</f>
      </c>
      <c r="H81" s="124">
        <f>IF(H80="","",H80*(1-0.2095)+H76+H78+H79)</f>
      </c>
      <c r="I81" s="27"/>
      <c r="K81" s="28"/>
      <c r="N81" s="27"/>
      <c r="O81" s="27"/>
      <c r="P81" s="27"/>
      <c r="Q81" s="27"/>
      <c r="R81" s="27"/>
    </row>
    <row r="82" spans="2:18" ht="15.75">
      <c r="B82" s="103" t="str">
        <f>language!A58</f>
        <v>Rookgasdebiet (nat)</v>
      </c>
      <c r="C82" s="104" t="str">
        <f t="shared" si="2"/>
        <v>Nm3/Nm3</v>
      </c>
      <c r="D82" s="119">
        <f>IF(D81="","",D81+D77)</f>
        <v>9.386709315305522</v>
      </c>
      <c r="E82" s="119">
        <f>IF(E81="","",E81+E77)</f>
        <v>10.611722016053383</v>
      </c>
      <c r="F82" s="119">
        <f>IF(F81="","",F81+F77)</f>
      </c>
      <c r="G82" s="119">
        <f>IF(G81="","",G81+G77)</f>
      </c>
      <c r="H82" s="120">
        <f>IF(H81="","",H81+H77)</f>
      </c>
      <c r="I82" s="27"/>
      <c r="K82" s="28"/>
      <c r="N82" s="27"/>
      <c r="O82" s="27"/>
      <c r="P82" s="27"/>
      <c r="Q82" s="27"/>
      <c r="R82" s="27"/>
    </row>
    <row r="83" spans="2:18" ht="15.75">
      <c r="B83" s="101" t="str">
        <f>language!A198</f>
        <v>DIN1942</v>
      </c>
      <c r="C83" s="102"/>
      <c r="D83" s="123"/>
      <c r="E83" s="123"/>
      <c r="F83" s="123"/>
      <c r="G83" s="123"/>
      <c r="H83" s="124"/>
      <c r="I83" s="27"/>
      <c r="K83" s="28"/>
      <c r="N83" s="27"/>
      <c r="O83" s="27"/>
      <c r="P83" s="27"/>
      <c r="Q83" s="27"/>
      <c r="R83" s="27"/>
    </row>
    <row r="84" spans="2:18" ht="15.75">
      <c r="B84" s="101" t="str">
        <f aca="true" t="shared" si="3" ref="B84:B90">B76</f>
        <v>Koolstofdioxide</v>
      </c>
      <c r="C84" s="102" t="str">
        <f>C82</f>
        <v>Nm3/Nm3</v>
      </c>
      <c r="D84" s="127">
        <f>IF(D5="","",0.231+0.02257*D5)</f>
        <v>0.9457590871279434</v>
      </c>
      <c r="E84" s="123">
        <f>IF(E5="","",0.231+0.02257*E5)</f>
        <v>1.049651598420675</v>
      </c>
      <c r="F84" s="123">
        <f>IF(F5="","",0.231+0.02257*F5)</f>
        <v>0.86296</v>
      </c>
      <c r="G84" s="123">
        <f>IF(G5="","",0.231+0.02257*G5)</f>
        <v>1.02095</v>
      </c>
      <c r="H84" s="124">
        <f>IF(H5="","",0.231+0.02257*H5)</f>
        <v>1.1338000000000001</v>
      </c>
      <c r="I84" s="27"/>
      <c r="K84" s="28"/>
      <c r="N84" s="27"/>
      <c r="O84" s="27"/>
      <c r="P84" s="27"/>
      <c r="Q84" s="27"/>
      <c r="R84" s="27"/>
    </row>
    <row r="85" spans="2:18" ht="15.75">
      <c r="B85" s="101" t="str">
        <f t="shared" si="3"/>
        <v>Waterdamp</v>
      </c>
      <c r="C85" s="102" t="str">
        <f>C82</f>
        <v>Nm3/Nm3</v>
      </c>
      <c r="D85" s="127">
        <f>IF(D5="","",-0.0784+0.0608*D5)</f>
        <v>1.8470476073273798</v>
      </c>
      <c r="E85" s="123">
        <f>IF(E5="","",-0.0784+0.0608*E5)</f>
        <v>2.126917553565664</v>
      </c>
      <c r="F85" s="123">
        <f>IF(F5="","",-0.0784+0.0608*F5)</f>
        <v>1.6239999999999999</v>
      </c>
      <c r="G85" s="123">
        <f>IF(G5="","",-0.0784+0.0608*G5)</f>
        <v>2.0496000000000003</v>
      </c>
      <c r="H85" s="124">
        <f>IF(H5="","",-0.0784+0.0608*H5)</f>
        <v>2.3536</v>
      </c>
      <c r="I85" s="27"/>
      <c r="K85" s="28"/>
      <c r="N85" s="27"/>
      <c r="O85" s="27"/>
      <c r="P85" s="27"/>
      <c r="Q85" s="27"/>
      <c r="R85" s="27"/>
    </row>
    <row r="86" spans="2:18" ht="15.75">
      <c r="B86" s="101" t="str">
        <f t="shared" si="3"/>
        <v>Brandstofstikstof</v>
      </c>
      <c r="C86" s="102" t="str">
        <f>C85</f>
        <v>Nm3/Nm3</v>
      </c>
      <c r="D86" s="127">
        <f>IF(D5="","",0)</f>
        <v>0</v>
      </c>
      <c r="E86" s="123">
        <f>IF(E5="","",0)</f>
        <v>0</v>
      </c>
      <c r="F86" s="123">
        <f>IF(F5="","",0)</f>
        <v>0</v>
      </c>
      <c r="G86" s="123">
        <f>IF(G5="","",0)</f>
        <v>0</v>
      </c>
      <c r="H86" s="124">
        <f>IF(H5="","",0)</f>
        <v>0</v>
      </c>
      <c r="I86" s="27"/>
      <c r="K86" s="28"/>
      <c r="N86" s="27"/>
      <c r="O86" s="27"/>
      <c r="P86" s="27"/>
      <c r="Q86" s="27"/>
      <c r="R86" s="27"/>
    </row>
    <row r="87" spans="2:18" ht="15.75">
      <c r="B87" s="101" t="str">
        <f t="shared" si="3"/>
        <v>Zwaveldioxide</v>
      </c>
      <c r="C87" s="102" t="str">
        <f>C86</f>
        <v>Nm3/Nm3</v>
      </c>
      <c r="D87" s="127">
        <f>IF(D5="","",0)</f>
        <v>0</v>
      </c>
      <c r="E87" s="123">
        <f>IF(E5="","",0)</f>
        <v>0</v>
      </c>
      <c r="F87" s="123">
        <f>IF(F5="","",0)</f>
        <v>0</v>
      </c>
      <c r="G87" s="123">
        <f>IF(G5="","",0)</f>
        <v>0</v>
      </c>
      <c r="H87" s="124">
        <f>IF(H5="","",0)</f>
        <v>0</v>
      </c>
      <c r="I87" s="27"/>
      <c r="K87" s="28"/>
      <c r="N87" s="27"/>
      <c r="O87" s="27"/>
      <c r="P87" s="27"/>
      <c r="Q87" s="27"/>
      <c r="R87" s="27"/>
    </row>
    <row r="88" spans="2:18" ht="15.75">
      <c r="B88" s="101" t="str">
        <f t="shared" si="3"/>
        <v>Droog luchtverbruik</v>
      </c>
      <c r="C88" s="102" t="str">
        <f>C87</f>
        <v>Nm3/Nm3</v>
      </c>
      <c r="D88" s="123">
        <f>IF(D5="","",-0.0405+0.2679*D5)</f>
        <v>8.443503519786269</v>
      </c>
      <c r="E88" s="123">
        <f>IF(E5="","",-0.0405+0.2679*E5)</f>
        <v>9.676680470398708</v>
      </c>
      <c r="F88" s="123">
        <f>IF(F5="","",-0.0405+0.2679*F5)</f>
        <v>7.460700000000001</v>
      </c>
      <c r="G88" s="123">
        <f>IF(G5="","",-0.0405+0.2679*G5)</f>
        <v>9.336</v>
      </c>
      <c r="H88" s="124">
        <f>IF(H5="","",-0.0405+0.2679*H5)</f>
        <v>10.675500000000001</v>
      </c>
      <c r="I88" s="27"/>
      <c r="K88" s="28"/>
      <c r="N88" s="27"/>
      <c r="O88" s="27"/>
      <c r="P88" s="27"/>
      <c r="Q88" s="27"/>
      <c r="R88" s="27"/>
    </row>
    <row r="89" spans="2:18" ht="15.75">
      <c r="B89" s="101" t="str">
        <f t="shared" si="3"/>
        <v>Rookgasdebiet (droog)</v>
      </c>
      <c r="C89" s="102" t="str">
        <f>C88</f>
        <v>Nm3/Nm3</v>
      </c>
      <c r="D89" s="123">
        <f>IF(D5="","",0.199+0.2344*D5)</f>
        <v>7.62210722298582</v>
      </c>
      <c r="E89" s="123">
        <f>IF(E5="","",0.199+0.2344*E5)</f>
        <v>8.701079515720256</v>
      </c>
      <c r="F89" s="123">
        <f>IF(F5="","",0.199+0.2344*F5)</f>
        <v>6.7622</v>
      </c>
      <c r="G89" s="123">
        <f>IF(G5="","",0.199+0.2344*G5)</f>
        <v>8.403</v>
      </c>
      <c r="H89" s="124">
        <f>IF(H5="","",0.199+0.2344*H5)</f>
        <v>9.575</v>
      </c>
      <c r="I89" s="27"/>
      <c r="K89" s="28"/>
      <c r="N89" s="27"/>
      <c r="O89" s="27"/>
      <c r="P89" s="27"/>
      <c r="Q89" s="27"/>
      <c r="R89" s="27"/>
    </row>
    <row r="90" spans="2:18" ht="15.75">
      <c r="B90" s="103" t="str">
        <f t="shared" si="3"/>
        <v>Rookgasdebiet (nat)</v>
      </c>
      <c r="C90" s="104" t="str">
        <f>C89</f>
        <v>Nm3/Nm3</v>
      </c>
      <c r="D90" s="119">
        <f>IF(D5="","",0.1211+0.292*D5)</f>
        <v>9.368315482559128</v>
      </c>
      <c r="E90" s="119">
        <f>IF(E5="","",0.1211+0.292*E5)</f>
        <v>10.712427724361412</v>
      </c>
      <c r="F90" s="119">
        <f>IF(F5="","",0.1211+0.292*F5)</f>
        <v>8.2971</v>
      </c>
      <c r="G90" s="119">
        <f>IF(G5="","",0.1211+0.292*G5)</f>
        <v>10.341099999999999</v>
      </c>
      <c r="H90" s="120">
        <f>IF(H5="","",0.1211+0.292*H5)</f>
        <v>11.8011</v>
      </c>
      <c r="I90" s="27"/>
      <c r="K90" s="28"/>
      <c r="N90" s="27"/>
      <c r="O90" s="27"/>
      <c r="P90" s="27"/>
      <c r="Q90" s="27"/>
      <c r="R90" s="27"/>
    </row>
    <row r="91" ht="12"/>
    <row r="92" ht="12" hidden="1"/>
    <row r="93" ht="12" hidden="1"/>
  </sheetData>
  <sheetProtection password="8F37" sheet="1" objects="1" scenarios="1"/>
  <printOptions/>
  <pageMargins left="0.75" right="0.75" top="1" bottom="1" header="0.5" footer="0.5"/>
  <pageSetup fitToHeight="1" fitToWidth="1" horizontalDpi="300" verticalDpi="300" orientation="portrait" paperSize="9" scale="84"/>
  <rowBreaks count="1" manualBreakCount="1">
    <brk id="49" max="18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209"/>
  <sheetViews>
    <sheetView zoomScale="75" zoomScaleNormal="75" zoomScalePageLayoutView="0" workbookViewId="0" topLeftCell="A1">
      <selection activeCell="D2" sqref="D2"/>
    </sheetView>
  </sheetViews>
  <sheetFormatPr defaultColWidth="0" defaultRowHeight="12.75" zeroHeight="1"/>
  <cols>
    <col min="1" max="1" width="2.00390625" style="29" customWidth="1"/>
    <col min="2" max="2" width="37.625" style="29" customWidth="1"/>
    <col min="3" max="3" width="7.375" style="30" customWidth="1"/>
    <col min="4" max="8" width="15.625" style="29" customWidth="1"/>
    <col min="9" max="9" width="1.875" style="29" customWidth="1"/>
    <col min="10" max="16384" width="0" style="29" hidden="1" customWidth="1"/>
  </cols>
  <sheetData>
    <row r="1" spans="1:8" ht="27" customHeight="1">
      <c r="A1" s="33">
        <f ca="1">IF(NOW()&gt;Data!B2,0,1)</f>
        <v>1</v>
      </c>
      <c r="B1" s="34"/>
      <c r="C1" s="50"/>
      <c r="D1" s="34"/>
      <c r="E1" s="34"/>
      <c r="F1" s="34"/>
      <c r="G1" s="34"/>
      <c r="H1" s="34"/>
    </row>
    <row r="2" spans="1:9" s="17" customFormat="1" ht="15.75">
      <c r="A2" s="35"/>
      <c r="B2" s="99"/>
      <c r="C2" s="100" t="str">
        <f>'Gaseous fuels'!C2</f>
        <v>Omschrijving</v>
      </c>
      <c r="D2" s="36" t="str">
        <f>language!A29</f>
        <v>DIESEL</v>
      </c>
      <c r="E2" s="36" t="str">
        <f>language!A30</f>
        <v>HFO</v>
      </c>
      <c r="F2" s="36" t="str">
        <f>language!A31</f>
        <v>LFO</v>
      </c>
      <c r="G2" s="36" t="s">
        <v>1003</v>
      </c>
      <c r="H2" s="37" t="s">
        <v>142</v>
      </c>
      <c r="I2" s="21"/>
    </row>
    <row r="3" spans="1:8" ht="15.75">
      <c r="A3" s="34"/>
      <c r="B3" s="101" t="str">
        <f>'Gaseous fuels'!B3</f>
        <v>Onderste verbrandingswaarde</v>
      </c>
      <c r="C3" s="106" t="str">
        <f>language!A73</f>
        <v>kJ/kg</v>
      </c>
      <c r="D3" s="195">
        <v>42480</v>
      </c>
      <c r="E3" s="195">
        <v>40230</v>
      </c>
      <c r="F3" s="195">
        <v>42650</v>
      </c>
      <c r="G3" s="195">
        <v>41000</v>
      </c>
      <c r="H3" s="196">
        <v>45000</v>
      </c>
    </row>
    <row r="4" spans="1:8" ht="15.75">
      <c r="A4" s="34"/>
      <c r="B4" s="103" t="str">
        <f>'Gaseous fuels'!B4</f>
        <v>Gehalte fossiele brandstof</v>
      </c>
      <c r="C4" s="104" t="s">
        <v>22</v>
      </c>
      <c r="D4" s="40">
        <v>100</v>
      </c>
      <c r="E4" s="40">
        <v>100</v>
      </c>
      <c r="F4" s="40">
        <v>100</v>
      </c>
      <c r="G4" s="40">
        <v>100</v>
      </c>
      <c r="H4" s="41">
        <v>100</v>
      </c>
    </row>
    <row r="5" spans="1:8" ht="15.75">
      <c r="A5" s="34"/>
      <c r="B5" s="101" t="str">
        <f>'Gaseous fuels'!B5</f>
        <v>Onderste verbrandingswaarde</v>
      </c>
      <c r="C5" s="106" t="str">
        <f>language!A72</f>
        <v>MJ/kg</v>
      </c>
      <c r="D5" s="140">
        <f>IF($A1=1,IF(D3="","",D3/1000),"")</f>
        <v>42.48</v>
      </c>
      <c r="E5" s="140">
        <f>IF($A1=1,IF(E3="","",E3/1000),"")</f>
        <v>40.23</v>
      </c>
      <c r="F5" s="140">
        <f>IF($A1=1,IF(F3="","",F3/1000),"")</f>
        <v>42.65</v>
      </c>
      <c r="G5" s="140">
        <f>IF($A1=1,IF(G3="","",G3/1000),"")</f>
        <v>41</v>
      </c>
      <c r="H5" s="213">
        <f>IF($A1=1,IF(H3="","",H3/1000),"")</f>
        <v>45</v>
      </c>
    </row>
    <row r="6" spans="1:8" s="17" customFormat="1" ht="15.75">
      <c r="A6" s="35"/>
      <c r="B6" s="101" t="str">
        <f>'Gaseous fuels'!B6</f>
        <v>Bovenste verbrandingswaarde</v>
      </c>
      <c r="C6" s="106" t="str">
        <f>C5</f>
        <v>MJ/kg</v>
      </c>
      <c r="D6" s="109">
        <f>IF(D5="","",D5+(D18-D17)*44.0136/21.629)</f>
        <v>45.3402944736581</v>
      </c>
      <c r="E6" s="109">
        <f>IF(E5="","",E5+(E18-E17)*44.0136/21.629)</f>
        <v>42.513868717134635</v>
      </c>
      <c r="F6" s="109">
        <f>IF(F5="","",F5+(F18-F17)*44.0136/21.629)</f>
        <v>45.569247107848</v>
      </c>
      <c r="G6" s="109">
        <f>IF(G5="","",G5+(G18-G17)*44.0136/21.629)</f>
        <v>43.75855731471635</v>
      </c>
      <c r="H6" s="110">
        <f>IF(H5="","",H5+(H18-H17)*44.0136/21.629)</f>
        <v>48.50578529196911</v>
      </c>
    </row>
    <row r="7" spans="1:8" s="17" customFormat="1" ht="15.75">
      <c r="A7" s="35"/>
      <c r="B7" s="101" t="str">
        <f>'Gaseous fuels'!B7</f>
        <v>Wobbe-index</v>
      </c>
      <c r="C7" s="106" t="str">
        <f>C6</f>
        <v>MJ/kg</v>
      </c>
      <c r="D7" s="142"/>
      <c r="E7" s="142"/>
      <c r="F7" s="142"/>
      <c r="G7" s="142"/>
      <c r="H7" s="143"/>
    </row>
    <row r="8" spans="1:8" ht="15.75">
      <c r="A8" s="34"/>
      <c r="B8" s="101" t="str">
        <f>'Gaseous fuels'!B8</f>
        <v>Berekeningsmethode</v>
      </c>
      <c r="C8" s="106"/>
      <c r="D8" s="113" t="str">
        <f>IF($A1=1,IF(OR(D29=0,D29=""),IF(D3="","",language!$A$198),language!$A$199),"")</f>
        <v>samenstelling</v>
      </c>
      <c r="E8" s="113" t="str">
        <f>IF($A1=1,IF(OR(E29=0,E29=""),IF(E3="","",language!$A$198),language!$A$199),"")</f>
        <v>samenstelling</v>
      </c>
      <c r="F8" s="113" t="str">
        <f>IF($A1=1,IF(OR(F29=0,F29=""),IF(F3="","",language!$A$198),language!$A$199),"")</f>
        <v>samenstelling</v>
      </c>
      <c r="G8" s="113" t="str">
        <f>IF($A1=1,IF(OR(G29=0,G29=""),IF(G3="","",language!$A$198),language!$A$199),"")</f>
        <v>DIN1942</v>
      </c>
      <c r="H8" s="114" t="str">
        <f>IF($A1=1,IF(OR(H29=0,H29=""),IF(H3="","",language!$A$198),language!$A$199),"")</f>
        <v>DIN1942</v>
      </c>
    </row>
    <row r="9" spans="1:8" ht="15.75">
      <c r="A9" s="34"/>
      <c r="B9" s="105" t="str">
        <f>'Gaseous fuels'!B9</f>
        <v>Koolstofdioxide</v>
      </c>
      <c r="C9" s="106" t="str">
        <f>language!A81</f>
        <v>Nm3/kg</v>
      </c>
      <c r="D9" s="113">
        <f>IF(D$8="","",IF(D$8=language!$A$198,D45,D37))</f>
        <v>1.5965480143202064</v>
      </c>
      <c r="E9" s="113">
        <f>IF(E$8="","",IF(E$8=language!$A$198,E45,E37))</f>
        <v>1.585064722337857</v>
      </c>
      <c r="F9" s="113">
        <f>IF(F$8="","",IF(F$8=language!$A$198,F45,F37))</f>
        <v>1.5987705869619515</v>
      </c>
      <c r="G9" s="113">
        <f>IF(G$8="","",IF(G$8=language!$A$198,G45,G37))</f>
        <v>1.574022</v>
      </c>
      <c r="H9" s="114">
        <f>IF(H$8="","",IF(H$8=language!$A$198,H45,H37))</f>
        <v>1.61139</v>
      </c>
    </row>
    <row r="10" spans="1:8" ht="15.75">
      <c r="A10" s="34"/>
      <c r="B10" s="105"/>
      <c r="C10" s="106" t="str">
        <f>language!A76</f>
        <v>kg/GJ</v>
      </c>
      <c r="D10" s="113">
        <f>IF(OR(D9="",D5=""),"",D9/'Gaseous fuels'!$L$29*'Gaseous fuels'!$K$29*1000/D5)</f>
        <v>74.352056597209</v>
      </c>
      <c r="E10" s="113">
        <f>IF(OR(E9="",E5=""),"",E9/'Gaseous fuels'!$L$29*'Gaseous fuels'!$K$29*1000/E5)</f>
        <v>77.94575669957689</v>
      </c>
      <c r="F10" s="113">
        <f>IF(OR(F9="",F5=""),"",F9/'Gaseous fuels'!$L$29*'Gaseous fuels'!$K$29*1000/F5)</f>
        <v>74.15878812924808</v>
      </c>
      <c r="G10" s="113">
        <f>IF(OR(G9="",G5=""),"",G9/'Gaseous fuels'!$L$29*'Gaseous fuels'!$K$29*1000/G5)</f>
        <v>75.94906842602502</v>
      </c>
      <c r="H10" s="114">
        <f>IF(OR(H9="",H5=""),"",H9/'Gaseous fuels'!$L$29*'Gaseous fuels'!$K$29*1000/H5)</f>
        <v>70.8408331467838</v>
      </c>
    </row>
    <row r="11" spans="1:8" ht="15.75">
      <c r="A11" s="34"/>
      <c r="B11" s="105" t="str">
        <f>'Gaseous fuels'!B11</f>
        <v>Waterdamp</v>
      </c>
      <c r="C11" s="106" t="str">
        <f>C9</f>
        <v>Nm3/kg</v>
      </c>
      <c r="D11" s="113">
        <f>IF(D$8="","",IF(D$8=language!$A$198,D46,D38))</f>
        <v>1.4055952971524954</v>
      </c>
      <c r="E11" s="113">
        <f>IF(E$8="","",IF(E$8=language!$A$198,E46,E38))</f>
        <v>1.122330290703443</v>
      </c>
      <c r="F11" s="113">
        <f>IF(F$8="","",IF(F$8=language!$A$198,F46,F38))</f>
        <v>1.4345655819029668</v>
      </c>
      <c r="G11" s="113">
        <f>IF(G$8="","",IF(G$8=language!$A$198,G46,G38))</f>
        <v>1.3556000000000004</v>
      </c>
      <c r="H11" s="114">
        <f>IF(H$8="","",IF(H$8=language!$A$198,H46,H38))</f>
        <v>1.7228000000000003</v>
      </c>
    </row>
    <row r="12" spans="1:8" ht="15.75">
      <c r="A12" s="34"/>
      <c r="B12" s="105" t="str">
        <f>'Gaseous fuels'!B12</f>
        <v>Brandstofstikstof</v>
      </c>
      <c r="C12" s="106" t="str">
        <f>C11</f>
        <v>Nm3/kg</v>
      </c>
      <c r="D12" s="113">
        <f>IF(D$8="","",IF(D$8=language!$A$198,D47,D39))</f>
        <v>7.997494056415858E-07</v>
      </c>
      <c r="E12" s="113">
        <f>IF(E$8="","",IF(E$8=language!$A$198,E47,E39))</f>
        <v>3.198997622566344E-05</v>
      </c>
      <c r="F12" s="113">
        <f>IF(F$8="","",IF(F$8=language!$A$198,F47,F39))</f>
        <v>0</v>
      </c>
      <c r="G12" s="113">
        <f>IF(G$8="","",IF(G$8=language!$A$198,G47,G39))</f>
        <v>0</v>
      </c>
      <c r="H12" s="114">
        <f>IF(H$8="","",IF(H$8=language!$A$198,H47,H39))</f>
        <v>0</v>
      </c>
    </row>
    <row r="13" spans="1:8" ht="15.75">
      <c r="A13" s="34"/>
      <c r="B13" s="105" t="str">
        <f>'Gaseous fuels'!B13</f>
        <v>Zwaveldioxide</v>
      </c>
      <c r="C13" s="106" t="str">
        <f>C12</f>
        <v>Nm3/kg</v>
      </c>
      <c r="D13" s="113">
        <f>IF(D$8="","",IF(D$8=language!$A$198,D48,D40))</f>
        <v>0.0012576419213973797</v>
      </c>
      <c r="E13" s="113">
        <f>IF(E$8="","",IF(E$8=language!$A$198,E48,E40))</f>
        <v>0.02326637554585153</v>
      </c>
      <c r="F13" s="113">
        <f>IF(F$8="","",IF(F$8=language!$A$198,F48,F40))</f>
        <v>0.0011877729257641918</v>
      </c>
      <c r="G13" s="113">
        <f>IF(G$8="","",IF(G$8=language!$A$198,G48,G40))</f>
        <v>0</v>
      </c>
      <c r="H13" s="114">
        <f>IF(H$8="","",IF(H$8=language!$A$198,H48,H40))</f>
        <v>0</v>
      </c>
    </row>
    <row r="14" spans="1:8" ht="15.75">
      <c r="A14" s="34"/>
      <c r="B14" s="105"/>
      <c r="C14" s="106" t="str">
        <f>C10</f>
        <v>kg/GJ</v>
      </c>
      <c r="D14" s="111">
        <f>IF(D8="","",D13/22.4*64*1000/D5)</f>
        <v>0.0845871617835203</v>
      </c>
      <c r="E14" s="111">
        <f>IF(E8="","",E13/22.4*64*1000/E5)</f>
        <v>1.6523827666525714</v>
      </c>
      <c r="F14" s="111">
        <f>IF(F8="","",F13/22.4*64*1000/F5)</f>
        <v>0.07956944737994921</v>
      </c>
      <c r="G14" s="111">
        <f>IF(G8="","",G13/22.4*64*1000/G5)</f>
        <v>0</v>
      </c>
      <c r="H14" s="112">
        <f>IF(H8="","",H13/22.4*64*1000/H5)</f>
        <v>0</v>
      </c>
    </row>
    <row r="15" spans="1:8" ht="15.75">
      <c r="A15" s="34"/>
      <c r="B15" s="101" t="str">
        <f>'Gaseous fuels'!B15</f>
        <v>Stoichiometrisch luchtverbruik</v>
      </c>
      <c r="C15" s="106" t="str">
        <f>C13</f>
        <v>Nm3/kg</v>
      </c>
      <c r="D15" s="113">
        <f>IF(D$8="","",IF(D$8=language!$A$198,D49,D41))</f>
        <v>11.136479602049928</v>
      </c>
      <c r="E15" s="113">
        <f>IF(E$8="","",IF(E$8=language!$A$198,E49,E41))</f>
        <v>10.482638163915775</v>
      </c>
      <c r="F15" s="113">
        <f>IF(F$8="","",IF(F$8=language!$A$198,F49,F41))</f>
        <v>11.231129879321681</v>
      </c>
      <c r="G15" s="113">
        <f>IF(G$8="","",IF(G$8=language!$A$198,G49,G41))</f>
        <v>10.636400000000002</v>
      </c>
      <c r="H15" s="114">
        <f>IF(H$8="","",IF(H$8=language!$A$198,H49,H41))</f>
        <v>11.706400000000002</v>
      </c>
    </row>
    <row r="16" spans="1:8" ht="15.75">
      <c r="A16" s="34"/>
      <c r="B16" s="101" t="str">
        <f>'Gaseous fuels'!B16</f>
        <v>Stoichiometrisch rookgasvolume</v>
      </c>
      <c r="C16" s="106"/>
      <c r="D16" s="144"/>
      <c r="E16" s="144"/>
      <c r="F16" s="144"/>
      <c r="G16" s="144"/>
      <c r="H16" s="145"/>
    </row>
    <row r="17" spans="1:8" ht="15.75">
      <c r="A17" s="34"/>
      <c r="B17" s="101" t="str">
        <f>'Gaseous fuels'!B17</f>
        <v>  droog</v>
      </c>
      <c r="C17" s="106" t="str">
        <f>C15</f>
        <v>Nm3/kg</v>
      </c>
      <c r="D17" s="113">
        <f>IF(D8="","",IF(D8=language!$A$198,D50,D42))</f>
        <v>10.401193581411476</v>
      </c>
      <c r="E17" s="113">
        <f>IF(E8="","",IF(E8=language!$A$198,E50,E42))</f>
        <v>9.894888556435353</v>
      </c>
      <c r="F17" s="113">
        <f>IF(F8="","",IF(F8=language!$A$198,F50,F42))</f>
        <v>10.478166529491505</v>
      </c>
      <c r="G17" s="113">
        <f>IF(G8="","",IF(G8=language!$A$198,G50,G42))</f>
        <v>9.9818</v>
      </c>
      <c r="H17" s="114">
        <f>IF(H8="","",IF(H8=language!$A$198,H50,H42))</f>
        <v>10.865</v>
      </c>
    </row>
    <row r="18" spans="1:8" ht="15.75">
      <c r="A18" s="34"/>
      <c r="B18" s="103" t="str">
        <f>'Gaseous fuels'!B18</f>
        <v>  nat</v>
      </c>
      <c r="C18" s="128" t="str">
        <f>C17</f>
        <v>Nm3/kg</v>
      </c>
      <c r="D18" s="146">
        <f>IF(D8="","",IF(D8=language!$A$198,D51,D43))</f>
        <v>11.806788878563971</v>
      </c>
      <c r="E18" s="146">
        <f>IF(E8="","",IF(E8=language!$A$198,E51,E43))</f>
        <v>11.017218847138796</v>
      </c>
      <c r="F18" s="146">
        <f>IF(F8="","",IF(F8=language!$A$198,F51,F43))</f>
        <v>11.912732111394472</v>
      </c>
      <c r="G18" s="146">
        <f>IF(G8="","",IF(G8=language!$A$198,G51,G43))</f>
        <v>11.337399999999999</v>
      </c>
      <c r="H18" s="147">
        <f>IF(H8="","",IF(H8=language!$A$198,H51,H43))</f>
        <v>12.5878</v>
      </c>
    </row>
    <row r="19" spans="1:8" ht="15.75">
      <c r="A19" s="34"/>
      <c r="B19" s="105" t="str">
        <f>language!A200</f>
        <v>mol C/kg</v>
      </c>
      <c r="C19" s="106"/>
      <c r="D19" s="184"/>
      <c r="E19" s="184"/>
      <c r="F19" s="184"/>
      <c r="G19" s="184"/>
      <c r="H19" s="185"/>
    </row>
    <row r="20" spans="1:8" ht="15.75">
      <c r="A20" s="34"/>
      <c r="B20" s="105" t="str">
        <f>language!A201</f>
        <v>mol H/kg</v>
      </c>
      <c r="C20" s="106"/>
      <c r="D20" s="184"/>
      <c r="E20" s="184"/>
      <c r="F20" s="184"/>
      <c r="G20" s="184"/>
      <c r="H20" s="185"/>
    </row>
    <row r="21" spans="1:8" ht="15.75">
      <c r="A21" s="34"/>
      <c r="B21" s="105" t="str">
        <f>language!A202</f>
        <v>mol N/kg</v>
      </c>
      <c r="C21" s="106"/>
      <c r="D21" s="184"/>
      <c r="E21" s="184"/>
      <c r="F21" s="184"/>
      <c r="G21" s="184"/>
      <c r="H21" s="185"/>
    </row>
    <row r="22" spans="1:8" ht="15.75">
      <c r="A22" s="34"/>
      <c r="B22" s="105" t="str">
        <f>language!A203</f>
        <v>mol S/kg</v>
      </c>
      <c r="C22" s="106"/>
      <c r="D22" s="184"/>
      <c r="E22" s="184"/>
      <c r="F22" s="184"/>
      <c r="G22" s="184"/>
      <c r="H22" s="185"/>
    </row>
    <row r="23" spans="1:8" ht="15.75">
      <c r="A23" s="34"/>
      <c r="B23" s="129" t="str">
        <f>language!A204</f>
        <v>mol O/kg</v>
      </c>
      <c r="C23" s="128"/>
      <c r="D23" s="186"/>
      <c r="E23" s="186"/>
      <c r="F23" s="186"/>
      <c r="G23" s="186"/>
      <c r="H23" s="187"/>
    </row>
    <row r="24" spans="1:8" ht="15.75">
      <c r="A24" s="34"/>
      <c r="B24" s="105" t="str">
        <f>language!A205</f>
        <v>C (gew%)</v>
      </c>
      <c r="C24" s="106"/>
      <c r="D24" s="46">
        <v>0.862</v>
      </c>
      <c r="E24" s="46">
        <v>0.8558</v>
      </c>
      <c r="F24" s="46">
        <v>0.8632</v>
      </c>
      <c r="G24" s="46"/>
      <c r="H24" s="47"/>
    </row>
    <row r="25" spans="1:8" ht="15.75">
      <c r="A25" s="34"/>
      <c r="B25" s="105" t="str">
        <f>language!A206</f>
        <v>H (gew%)</v>
      </c>
      <c r="C25" s="106"/>
      <c r="D25" s="46">
        <v>0.131</v>
      </c>
      <c r="E25" s="46">
        <v>0.1046</v>
      </c>
      <c r="F25" s="46">
        <v>0.1337</v>
      </c>
      <c r="G25" s="46"/>
      <c r="H25" s="47"/>
    </row>
    <row r="26" spans="1:8" ht="15.75">
      <c r="A26" s="34"/>
      <c r="B26" s="105" t="str">
        <f>language!A207</f>
        <v>N (gew%)</v>
      </c>
      <c r="C26" s="106"/>
      <c r="D26" s="46">
        <v>1E-06</v>
      </c>
      <c r="E26" s="51">
        <v>4E-05</v>
      </c>
      <c r="F26" s="46">
        <v>0</v>
      </c>
      <c r="G26" s="46"/>
      <c r="H26" s="47"/>
    </row>
    <row r="27" spans="1:8" ht="15.75">
      <c r="A27" s="34"/>
      <c r="B27" s="105" t="str">
        <f>language!A208</f>
        <v>S (gew%)</v>
      </c>
      <c r="C27" s="106"/>
      <c r="D27" s="46">
        <v>0.0018</v>
      </c>
      <c r="E27" s="46">
        <v>0.0333</v>
      </c>
      <c r="F27" s="46">
        <v>0.0017</v>
      </c>
      <c r="G27" s="46"/>
      <c r="H27" s="47"/>
    </row>
    <row r="28" spans="1:8" ht="15.75">
      <c r="A28" s="34"/>
      <c r="B28" s="129" t="str">
        <f>language!A209</f>
        <v>As (gew%)</v>
      </c>
      <c r="C28" s="128"/>
      <c r="D28" s="48"/>
      <c r="E28" s="48"/>
      <c r="F28" s="48"/>
      <c r="G28" s="48"/>
      <c r="H28" s="49"/>
    </row>
    <row r="29" spans="1:8" ht="15.75">
      <c r="A29" s="34"/>
      <c r="B29" s="105" t="str">
        <f>B24</f>
        <v>C (gew%)</v>
      </c>
      <c r="C29" s="106"/>
      <c r="D29" s="130">
        <f>IF($A1=1,IF(SUM(D$19:D$28)=0,"",IF(SUM(D$24:D$28)=0,D19*12/1000,D24)),"")</f>
        <v>0.862</v>
      </c>
      <c r="E29" s="130">
        <f>IF($A1=1,IF(SUM(E$19:E$28)=0,"",IF(SUM(E$24:E$28)=0,E19*12/1000,E24)),"")</f>
        <v>0.8558</v>
      </c>
      <c r="F29" s="130">
        <f>IF($A1=1,IF(SUM(F$19:F$28)=0,"",IF(SUM(F$24:F$28)=0,F19*12/1000,F24)),"")</f>
        <v>0.8632</v>
      </c>
      <c r="G29" s="130">
        <f>IF($A1=1,IF(SUM(G$19:G$28)=0,"",IF(SUM(G$24:G$28)=0,G19*12/1000,G24)),"")</f>
      </c>
      <c r="H29" s="131">
        <f>IF($A1=1,IF(SUM(H$19:H$28)=0,"",IF(SUM(H$24:H$28)=0,H19*12/1000,H24)),"")</f>
      </c>
    </row>
    <row r="30" spans="1:8" ht="15.75">
      <c r="A30" s="34"/>
      <c r="B30" s="105" t="str">
        <f>B25</f>
        <v>H (gew%)</v>
      </c>
      <c r="C30" s="106"/>
      <c r="D30" s="130">
        <f>IF($A1=1,IF(SUM(D$19:D$28)=0,"",IF(SUM(D$24:D$28)=0,D20/1000,D25)),"")</f>
        <v>0.131</v>
      </c>
      <c r="E30" s="130">
        <f>IF($A1=1,IF(SUM(E$19:E$28)=0,"",IF(SUM(E$24:E$28)=0,E20/1000,E25)),"")</f>
        <v>0.1046</v>
      </c>
      <c r="F30" s="130">
        <f>IF($A1=1,IF(SUM(F$19:F$28)=0,"",IF(SUM(F$24:F$28)=0,F20/1000,F25)),"")</f>
        <v>0.1337</v>
      </c>
      <c r="G30" s="130">
        <f>IF($A1=1,IF(SUM(G$19:G$28)=0,"",IF(SUM(G$24:G$28)=0,G20/1000,G25)),"")</f>
      </c>
      <c r="H30" s="132">
        <f>IF($A1=1,IF(SUM(H$19:H$28)=0,"",IF(SUM(H$24:H$28)=0,H20/1000,H25)),"")</f>
      </c>
    </row>
    <row r="31" spans="1:8" ht="15.75">
      <c r="A31" s="34"/>
      <c r="B31" s="105" t="str">
        <f>B26</f>
        <v>N (gew%)</v>
      </c>
      <c r="C31" s="106"/>
      <c r="D31" s="130">
        <f>IF($A1=1,IF(SUM(D$19:D$28)=0,"",IF(SUM(D$24:D$28)=0,D21*14/1000,D26)),"")</f>
        <v>1E-06</v>
      </c>
      <c r="E31" s="130">
        <f>IF($A1=1,IF(SUM(E$19:E$28)=0,"",IF(SUM(E$24:E$28)=0,E21*14/1000,E26)),"")</f>
        <v>4E-05</v>
      </c>
      <c r="F31" s="130">
        <f>IF($A1=1,IF(SUM(F$19:F$28)=0,"",IF(SUM(F$24:F$28)=0,F21*14/1000,F26)),"")</f>
        <v>0</v>
      </c>
      <c r="G31" s="130">
        <f>IF($A1=1,IF(SUM(G$19:G$28)=0,"",IF(SUM(G$24:G$28)=0,G21*14/1000,G26)),"")</f>
      </c>
      <c r="H31" s="132">
        <f>IF($A1=1,IF(SUM(H$19:H$28)=0,"",IF(SUM(H$24:H$28)=0,H21*14/1000,H26)),"")</f>
      </c>
    </row>
    <row r="32" spans="1:8" ht="15.75">
      <c r="A32" s="34"/>
      <c r="B32" s="105" t="str">
        <f>B27</f>
        <v>S (gew%)</v>
      </c>
      <c r="C32" s="106"/>
      <c r="D32" s="130">
        <f>IF($A1=1,IF(SUM(D$19:D$28)=0,"",IF(SUM(D$24:D$28)=0,D22*32/1000,D27)),"")</f>
        <v>0.0018</v>
      </c>
      <c r="E32" s="130">
        <f>IF($A1=1,IF(SUM(E$19:E$28)=0,"",IF(SUM(E$24:E$28)=0,E22*32/1000,E27)),"")</f>
        <v>0.0333</v>
      </c>
      <c r="F32" s="130">
        <f>IF($A1=1,IF(SUM(F$19:F$28)=0,"",IF(SUM(F$24:F$28)=0,F22*32/1000,F27)),"")</f>
        <v>0.0017</v>
      </c>
      <c r="G32" s="130">
        <f>IF($A1=1,IF(SUM(G$19:G$28)=0,"",IF(SUM(G$24:G$28)=0,G22*32/1000,G27)),"")</f>
      </c>
      <c r="H32" s="132">
        <f>IF($A1=1,IF(SUM(H$19:H$28)=0,"",IF(SUM(H$24:H$28)=0,H22*32/1000,H27)),"")</f>
      </c>
    </row>
    <row r="33" spans="1:8" ht="15.75">
      <c r="A33" s="34"/>
      <c r="B33" s="105" t="str">
        <f>B28</f>
        <v>As (gew%)</v>
      </c>
      <c r="C33" s="106"/>
      <c r="D33" s="130">
        <f>IF($A1=1,IF(SUM(D$19:D$28)=0,"",IF(SUM(D$24:D$28)=0,"",IF(D28="","",D28))),"")</f>
      </c>
      <c r="E33" s="130">
        <f>IF($A1=1,IF(SUM(E$19:E$28)=0,"",IF(SUM(E$24:E$28)=0,"",IF(E28="","",E28))),"")</f>
      </c>
      <c r="F33" s="130">
        <f>IF($A1=1,IF(SUM(F$19:F$28)=0,"",IF(SUM(F$24:F$28)=0,"",IF(F28="","",F28))),"")</f>
      </c>
      <c r="G33" s="130">
        <f>IF($A1=1,IF(SUM(G$19:G$28)=0,"",IF(SUM(G$24:G$28)=0,"",IF(G28="","",G28))),"")</f>
      </c>
      <c r="H33" s="132">
        <f>IF($A1=1,IF(SUM(H$19:H$28)=0,"",IF(SUM(H$24:H$28)=0,"",IF(H28="","",H28))),"")</f>
      </c>
    </row>
    <row r="34" spans="1:8" ht="15.75">
      <c r="A34" s="34"/>
      <c r="B34" s="129" t="str">
        <f>language!A210</f>
        <v>O (gew%)</v>
      </c>
      <c r="C34" s="128"/>
      <c r="D34" s="133">
        <f>IF($A1=1,IF(SUM(D19:D28)=0,"",IF(SUM(D24:D28)=0,D23*16/1000,1-SUM(D29:D33))),"")</f>
        <v>0.005198999999999954</v>
      </c>
      <c r="E34" s="133">
        <f>IF($A1=1,IF(SUM(E19:E28)=0,"",IF(SUM(E24:E28)=0,E23*16/1000,1-SUM(E29:E33))),"")</f>
        <v>0.006259999999999932</v>
      </c>
      <c r="F34" s="133">
        <f>IF($A1=1,IF(SUM(F19:F28)=0,"",IF(SUM(F24:F28)=0,F23*16/1000,1-SUM(F29:F33))),"")</f>
        <v>0.0013999999999999568</v>
      </c>
      <c r="G34" s="133">
        <f>IF($A1=1,IF(SUM(G19:G28)=0,"",IF(SUM(G24:G28)=0,G23*16/1000,1-SUM(G29:G33))),"")</f>
      </c>
      <c r="H34" s="134">
        <f>IF($A1=1,IF(SUM(H19:H28)=0,"",IF(SUM(H24:H28)=0,H23*16/1000,1-SUM(H29:H33))),"")</f>
      </c>
    </row>
    <row r="35" spans="1:8" ht="15.75">
      <c r="A35" s="34"/>
      <c r="B35" s="101" t="str">
        <f>'Gaseous fuels'!B74</f>
        <v>Stoichiometrisch verbranding</v>
      </c>
      <c r="C35" s="106"/>
      <c r="D35" s="127"/>
      <c r="E35" s="127"/>
      <c r="F35" s="127"/>
      <c r="G35" s="127"/>
      <c r="H35" s="135"/>
    </row>
    <row r="36" spans="1:8" ht="15.75">
      <c r="A36" s="34"/>
      <c r="B36" s="101" t="str">
        <f>language!A197</f>
        <v>Zuurstofverbruik</v>
      </c>
      <c r="C36" s="106" t="str">
        <f>language!A75</f>
        <v>mol/kg</v>
      </c>
      <c r="D36" s="136">
        <f>IF(SUM(D29:D33)=0,"",(D29/12.011+D30/1.0079/4-D34/15.9994/2+D32/32.06)*1000)</f>
        <v>104.15451920864717</v>
      </c>
      <c r="E36" s="136">
        <f>IF(SUM(E29:E33)=0,"",(E29/12.011+E30/1.0079/4-E34/15.9994/2+E32/32.06)*1000)</f>
        <v>98.03943229958324</v>
      </c>
      <c r="F36" s="136">
        <f>IF(SUM(F29:F33)=0,"",(F29/12.011+F30/1.0079/4-F34/15.9994/2+F32/32.06)*1000)</f>
        <v>105.03974097301786</v>
      </c>
      <c r="G36" s="136">
        <f>IF(SUM(G29:G33)=0,"",(G29/12.011+G30/1.0079/4-G34/15.9994/2+G32/32.06)*1000)</f>
      </c>
      <c r="H36" s="137">
        <f>IF(SUM(H29:H33)=0,"",(H29/12.011+H30/1.0079/4-H34/15.9994/2+H32/32.06)*1000)</f>
      </c>
    </row>
    <row r="37" spans="1:8" ht="15.75">
      <c r="A37" s="34"/>
      <c r="B37" s="101" t="str">
        <f>'Gaseous fuels'!B76</f>
        <v>Koolstofdioxide</v>
      </c>
      <c r="C37" s="106" t="str">
        <f>C18</f>
        <v>Nm3/kg</v>
      </c>
      <c r="D37" s="136">
        <f>IF(SUM(D29:D33)=0,"",(D29/12.011)*'Gaseous fuels'!$L$29)</f>
        <v>1.5965480143202064</v>
      </c>
      <c r="E37" s="136">
        <f>IF(SUM(E29:E33)=0,"",(E29/12.011)*'Gaseous fuels'!$L$29)</f>
        <v>1.585064722337857</v>
      </c>
      <c r="F37" s="136">
        <f>IF(SUM(F29:F33)=0,"",(F29/12.011)*'Gaseous fuels'!$L$29)</f>
        <v>1.5987705869619515</v>
      </c>
      <c r="G37" s="136">
        <f>IF(SUM(G29:G33)=0,"",(G29/12.011)*'Gaseous fuels'!$L$29)</f>
      </c>
      <c r="H37" s="137">
        <f>IF(SUM(H29:H33)=0,"",(H29/12.011)*'Gaseous fuels'!$L$29)</f>
      </c>
    </row>
    <row r="38" spans="1:8" ht="15.75">
      <c r="A38" s="34"/>
      <c r="B38" s="101" t="str">
        <f>'Gaseous fuels'!B77</f>
        <v>Waterdamp</v>
      </c>
      <c r="C38" s="106" t="str">
        <f aca="true" t="shared" si="0" ref="C38:C43">C37</f>
        <v>Nm3/kg</v>
      </c>
      <c r="D38" s="136">
        <f>IF(SUM(D29:D33)=0,"",(D30/1.0079/2)*'Gaseous fuels'!$L$24)</f>
        <v>1.4055952971524954</v>
      </c>
      <c r="E38" s="136">
        <f>IF(SUM(E29:E33)=0,"",(E30/1.0079/2)*'Gaseous fuels'!$L$24)</f>
        <v>1.122330290703443</v>
      </c>
      <c r="F38" s="136">
        <f>IF(SUM(F29:F33)=0,"",(F30/1.0079/2)*'Gaseous fuels'!$L$24)</f>
        <v>1.4345655819029668</v>
      </c>
      <c r="G38" s="136">
        <f>IF(SUM(G29:G33)=0,"",(G30/1.0079/2)*'Gaseous fuels'!$L$24)</f>
      </c>
      <c r="H38" s="137">
        <f>IF(SUM(H29:H33)=0,"",(H30/1.0079/2)*'Gaseous fuels'!$L$24)</f>
      </c>
    </row>
    <row r="39" spans="1:8" ht="15.75">
      <c r="A39" s="34"/>
      <c r="B39" s="101" t="str">
        <f>'Gaseous fuels'!B78</f>
        <v>Brandstofstikstof</v>
      </c>
      <c r="C39" s="106" t="str">
        <f t="shared" si="0"/>
        <v>Nm3/kg</v>
      </c>
      <c r="D39" s="136">
        <f>IF(SUM(D29:D33)=0,"",(D31/14.0067/2)*'Gaseous fuels'!$L$25)</f>
        <v>7.997494056415858E-07</v>
      </c>
      <c r="E39" s="136">
        <f>IF(SUM(E29:E33)=0,"",(E31/14.0067/2)*'Gaseous fuels'!$L$25)</f>
        <v>3.198997622566344E-05</v>
      </c>
      <c r="F39" s="136">
        <f>IF(SUM(F29:F33)=0,"",(F31/14.0067/2)*'Gaseous fuels'!$L$25)</f>
        <v>0</v>
      </c>
      <c r="G39" s="136">
        <f>IF(SUM(G29:G33)=0,"",(G31/14.0067/2)*'Gaseous fuels'!$L$25)</f>
      </c>
      <c r="H39" s="137">
        <f>IF(SUM(H29:H33)=0,"",(H31/14.0067/2)*'Gaseous fuels'!$L$25)</f>
      </c>
    </row>
    <row r="40" spans="1:8" ht="15.75">
      <c r="A40" s="34"/>
      <c r="B40" s="101" t="str">
        <f>'Gaseous fuels'!B79</f>
        <v>Zwaveldioxide</v>
      </c>
      <c r="C40" s="106" t="str">
        <f t="shared" si="0"/>
        <v>Nm3/kg</v>
      </c>
      <c r="D40" s="136">
        <f>IF(SUM(D29:D33)=0,"",(D32/32.06)*22.4)</f>
        <v>0.0012576419213973797</v>
      </c>
      <c r="E40" s="136">
        <f>IF(SUM(E29:E33)=0,"",(E32/32.06)*22.4)</f>
        <v>0.02326637554585153</v>
      </c>
      <c r="F40" s="136">
        <f>IF(SUM(F29:F33)=0,"",(F32/32.06)*22.4)</f>
        <v>0.0011877729257641918</v>
      </c>
      <c r="G40" s="136">
        <f>IF(SUM(G29:G33)=0,"",(G32/32.06)*22.4)</f>
      </c>
      <c r="H40" s="137">
        <f>IF(SUM(H29:H33)=0,"",(H32/32.06)*22.4)</f>
      </c>
    </row>
    <row r="41" spans="1:8" ht="15.75">
      <c r="A41" s="34"/>
      <c r="B41" s="101" t="str">
        <f>'Gaseous fuels'!B80</f>
        <v>Droog luchtverbruik</v>
      </c>
      <c r="C41" s="106" t="str">
        <f t="shared" si="0"/>
        <v>Nm3/kg</v>
      </c>
      <c r="D41" s="136">
        <f>IF(SUM(D29:D33)=0,"",D36/0.2095*22.4003/1000)</f>
        <v>11.136479602049928</v>
      </c>
      <c r="E41" s="136">
        <f>IF(SUM(E29:E33)=0,"",E36/0.2095*22.4003/1000)</f>
        <v>10.482638163915775</v>
      </c>
      <c r="F41" s="136">
        <f>IF(SUM(F29:F33)=0,"",F36/0.2095*22.4003/1000)</f>
        <v>11.231129879321681</v>
      </c>
      <c r="G41" s="136">
        <f>IF(SUM(G29:G33)=0,"",G36/0.2095*22.4003/1000)</f>
      </c>
      <c r="H41" s="137">
        <f>IF(SUM(H29:H33)=0,"",H36/0.2095*22.4003/1000)</f>
      </c>
    </row>
    <row r="42" spans="1:8" ht="15.75">
      <c r="A42" s="34"/>
      <c r="B42" s="101" t="str">
        <f>'Gaseous fuels'!B81</f>
        <v>Rookgasdebiet (droog)</v>
      </c>
      <c r="C42" s="106" t="str">
        <f t="shared" si="0"/>
        <v>Nm3/kg</v>
      </c>
      <c r="D42" s="136">
        <f>IF(SUM(D29:D33)=0,"",D41*(1-0.2095)+D37+D39+D40)</f>
        <v>10.401193581411476</v>
      </c>
      <c r="E42" s="136">
        <f>IF(SUM(E29:E33)=0,"",E41*(1-0.2095)+E37+E39+E40)</f>
        <v>9.894888556435353</v>
      </c>
      <c r="F42" s="136">
        <f>IF(SUM(F29:F33)=0,"",F41*(1-0.2095)+F37+F39+F40)</f>
        <v>10.478166529491505</v>
      </c>
      <c r="G42" s="136">
        <f>IF(SUM(G29:G33)=0,"",G41*(1-0.2095)+G37+G39+G40)</f>
      </c>
      <c r="H42" s="137">
        <f>IF(SUM(H29:H33)=0,"",H41*(1-0.2095)+H37+H39+H40)</f>
      </c>
    </row>
    <row r="43" spans="1:8" ht="15.75">
      <c r="A43" s="34"/>
      <c r="B43" s="103" t="str">
        <f>'Gaseous fuels'!B82</f>
        <v>Rookgasdebiet (nat)</v>
      </c>
      <c r="C43" s="128" t="str">
        <f t="shared" si="0"/>
        <v>Nm3/kg</v>
      </c>
      <c r="D43" s="138">
        <f>IF(SUM(D29:D33)=0,"",D42+D38)</f>
        <v>11.806788878563971</v>
      </c>
      <c r="E43" s="138">
        <f>IF(SUM(E29:E33)=0,"",E42+E38)</f>
        <v>11.017218847138796</v>
      </c>
      <c r="F43" s="138">
        <f>IF(SUM(F29:F33)=0,"",F42+F38)</f>
        <v>11.912732111394472</v>
      </c>
      <c r="G43" s="138">
        <f>IF(SUM(G29:G33)=0,"",G42+G38)</f>
      </c>
      <c r="H43" s="139">
        <f>IF(SUM(H29:H33)=0,"",H42+H38)</f>
      </c>
    </row>
    <row r="44" spans="1:8" ht="15.75">
      <c r="A44" s="34"/>
      <c r="B44" s="101" t="str">
        <f>'Gaseous fuels'!B83</f>
        <v>DIN1942</v>
      </c>
      <c r="C44" s="106"/>
      <c r="D44" s="127"/>
      <c r="E44" s="127"/>
      <c r="F44" s="127"/>
      <c r="G44" s="127"/>
      <c r="H44" s="135"/>
    </row>
    <row r="45" spans="1:8" ht="15.75">
      <c r="A45" s="34"/>
      <c r="B45" s="101" t="str">
        <f>'Gaseous fuels'!B84</f>
        <v>Koolstofdioxide</v>
      </c>
      <c r="C45" s="106" t="str">
        <f>C43</f>
        <v>Nm3/kg</v>
      </c>
      <c r="D45" s="111">
        <f>IF(D5="","",1.191+0.009342*D5)</f>
        <v>1.58784816</v>
      </c>
      <c r="E45" s="111">
        <f>IF(E5="","",1.191+0.009342*E5)</f>
        <v>1.56682866</v>
      </c>
      <c r="F45" s="111">
        <f>IF(F5="","",1.191+0.009342*F5)</f>
        <v>1.5894363</v>
      </c>
      <c r="G45" s="111">
        <f>IF(G5="","",1.191+0.009342*G5)</f>
        <v>1.574022</v>
      </c>
      <c r="H45" s="112">
        <f>IF(H5="","",1.191+0.009342*H5)</f>
        <v>1.61139</v>
      </c>
    </row>
    <row r="46" spans="1:8" ht="15.75">
      <c r="A46" s="34"/>
      <c r="B46" s="101" t="str">
        <f>'Gaseous fuels'!B85</f>
        <v>Waterdamp</v>
      </c>
      <c r="C46" s="106" t="str">
        <f aca="true" t="shared" si="1" ref="C46:C51">C45</f>
        <v>Nm3/kg</v>
      </c>
      <c r="D46" s="136">
        <f>IF(D5="","",-2.4082+0.0918*D5)</f>
        <v>1.4914640000000001</v>
      </c>
      <c r="E46" s="136">
        <f>IF(E5="","",-2.4082+0.0918*E5)</f>
        <v>1.2849140000000001</v>
      </c>
      <c r="F46" s="136">
        <f>IF(F5="","",-2.4082+0.0918*F5)</f>
        <v>1.5070700000000001</v>
      </c>
      <c r="G46" s="136">
        <f>IF(G5="","",-2.4082+0.0918*G5)</f>
        <v>1.3556000000000004</v>
      </c>
      <c r="H46" s="137">
        <f>IF(H5="","",-2.4082+0.0918*H5)</f>
        <v>1.7228000000000003</v>
      </c>
    </row>
    <row r="47" spans="1:8" ht="15.75">
      <c r="A47" s="34"/>
      <c r="B47" s="101" t="str">
        <f>'Gaseous fuels'!B86</f>
        <v>Brandstofstikstof</v>
      </c>
      <c r="C47" s="106" t="str">
        <f t="shared" si="1"/>
        <v>Nm3/kg</v>
      </c>
      <c r="D47" s="136">
        <f>IF(D5="","",0)</f>
        <v>0</v>
      </c>
      <c r="E47" s="136">
        <f>IF(E5="","",0)</f>
        <v>0</v>
      </c>
      <c r="F47" s="136">
        <f>IF(F5="","",0)</f>
        <v>0</v>
      </c>
      <c r="G47" s="136">
        <f>IF(G5="","",0)</f>
        <v>0</v>
      </c>
      <c r="H47" s="137">
        <f>IF(H5="","",0)</f>
        <v>0</v>
      </c>
    </row>
    <row r="48" spans="1:8" ht="15.75">
      <c r="A48" s="34"/>
      <c r="B48" s="101" t="str">
        <f>'Gaseous fuels'!B87</f>
        <v>Zwaveldioxide</v>
      </c>
      <c r="C48" s="106" t="str">
        <f t="shared" si="1"/>
        <v>Nm3/kg</v>
      </c>
      <c r="D48" s="136">
        <f>IF(D5="","",IF(D40="",0,D40))</f>
        <v>0.0012576419213973797</v>
      </c>
      <c r="E48" s="136">
        <f>IF(E5="","",IF(E40="",0,E40))</f>
        <v>0.02326637554585153</v>
      </c>
      <c r="F48" s="136">
        <f>IF(F5="","",IF(F40="",0,F40))</f>
        <v>0.0011877729257641918</v>
      </c>
      <c r="G48" s="136">
        <f>IF(G5="","",IF(G40="",0,G40))</f>
        <v>0</v>
      </c>
      <c r="H48" s="137">
        <f>IF(H5="","",IF(H40="",0,H40))</f>
        <v>0</v>
      </c>
    </row>
    <row r="49" spans="1:8" ht="14.25" customHeight="1">
      <c r="A49" s="34"/>
      <c r="B49" s="101" t="str">
        <f>'Gaseous fuels'!B88</f>
        <v>Droog luchtverbruik</v>
      </c>
      <c r="C49" s="106" t="str">
        <f t="shared" si="1"/>
        <v>Nm3/kg</v>
      </c>
      <c r="D49" s="136">
        <f>IF(D5="","",-0.3311+0.2675*D5)</f>
        <v>11.032300000000001</v>
      </c>
      <c r="E49" s="136">
        <f>IF(E5="","",-0.3311+0.2675*E5)</f>
        <v>10.430425000000001</v>
      </c>
      <c r="F49" s="136">
        <f>IF(F5="","",-0.3311+0.2675*F5)</f>
        <v>11.077775</v>
      </c>
      <c r="G49" s="136">
        <f>IF(G5="","",-0.3311+0.2675*G5)</f>
        <v>10.636400000000002</v>
      </c>
      <c r="H49" s="137">
        <f>IF(H5="","",-0.3311+0.2675*H5)</f>
        <v>11.706400000000002</v>
      </c>
    </row>
    <row r="50" spans="1:8" ht="15.75">
      <c r="A50" s="34"/>
      <c r="B50" s="101" t="str">
        <f>'Gaseous fuels'!B89</f>
        <v>Rookgasdebiet (droog)</v>
      </c>
      <c r="C50" s="106" t="str">
        <f t="shared" si="1"/>
        <v>Nm3/kg</v>
      </c>
      <c r="D50" s="136">
        <f>IF(D5="","",0.929+0.2208*D5)</f>
        <v>10.308584</v>
      </c>
      <c r="E50" s="136">
        <f>IF(E5="","",0.929+0.2208*E5)</f>
        <v>9.811784</v>
      </c>
      <c r="F50" s="136">
        <f>IF(F5="","",0.929+0.2208*F5)</f>
        <v>10.346119999999999</v>
      </c>
      <c r="G50" s="136">
        <f>IF(G5="","",0.929+0.2208*G5)</f>
        <v>9.9818</v>
      </c>
      <c r="H50" s="137">
        <f>IF(H5="","",0.929+0.2208*H5)</f>
        <v>10.865</v>
      </c>
    </row>
    <row r="51" spans="1:8" ht="15.75">
      <c r="A51" s="34"/>
      <c r="B51" s="103" t="str">
        <f>'Gaseous fuels'!B90</f>
        <v>Rookgasdebiet (nat)</v>
      </c>
      <c r="C51" s="128" t="str">
        <f t="shared" si="1"/>
        <v>Nm3/kg</v>
      </c>
      <c r="D51" s="138">
        <f>IF(D5="","",-1.4792+0.3126*D5)</f>
        <v>11.800047999999999</v>
      </c>
      <c r="E51" s="138">
        <f>IF(E5="","",-1.4792+0.3126*E5)</f>
        <v>11.096697999999998</v>
      </c>
      <c r="F51" s="138">
        <f>IF(F5="","",-1.4792+0.3126*F5)</f>
        <v>11.853189999999998</v>
      </c>
      <c r="G51" s="138">
        <f>IF(G5="","",-1.4792+0.3126*G5)</f>
        <v>11.337399999999999</v>
      </c>
      <c r="H51" s="139">
        <f>IF(H5="","",-1.4792+0.3126*H5)</f>
        <v>12.5878</v>
      </c>
    </row>
    <row r="52" ht="12">
      <c r="C52" s="25"/>
    </row>
    <row r="53" ht="12" hidden="1">
      <c r="C53" s="25"/>
    </row>
    <row r="54" ht="12" hidden="1">
      <c r="C54" s="25"/>
    </row>
    <row r="55" ht="12" hidden="1">
      <c r="C55" s="25"/>
    </row>
    <row r="56" ht="12" hidden="1">
      <c r="C56" s="25"/>
    </row>
    <row r="57" ht="12" hidden="1">
      <c r="C57" s="25"/>
    </row>
    <row r="58" ht="12" hidden="1">
      <c r="C58" s="25"/>
    </row>
    <row r="59" ht="12" hidden="1">
      <c r="C59" s="25"/>
    </row>
    <row r="60" ht="12" hidden="1">
      <c r="C60" s="25"/>
    </row>
    <row r="61" ht="12" hidden="1">
      <c r="C61" s="25"/>
    </row>
    <row r="62" ht="12" hidden="1">
      <c r="C62" s="25"/>
    </row>
    <row r="63" ht="12" hidden="1">
      <c r="C63" s="25"/>
    </row>
    <row r="64" ht="12" hidden="1">
      <c r="C64" s="25"/>
    </row>
    <row r="65" ht="12" hidden="1">
      <c r="C65" s="25"/>
    </row>
    <row r="66" ht="12" hidden="1">
      <c r="C66" s="25"/>
    </row>
    <row r="67" ht="12" hidden="1">
      <c r="C67" s="25"/>
    </row>
    <row r="68" ht="12" hidden="1">
      <c r="C68" s="25"/>
    </row>
    <row r="69" ht="12" hidden="1">
      <c r="C69" s="25"/>
    </row>
    <row r="70" ht="12" hidden="1">
      <c r="C70" s="25"/>
    </row>
    <row r="71" ht="12" hidden="1">
      <c r="C71" s="25"/>
    </row>
    <row r="72" ht="12" hidden="1">
      <c r="C72" s="25"/>
    </row>
    <row r="73" ht="12" hidden="1">
      <c r="C73" s="25"/>
    </row>
    <row r="74" ht="12" hidden="1">
      <c r="C74" s="25"/>
    </row>
    <row r="75" ht="12" hidden="1">
      <c r="C75" s="25"/>
    </row>
    <row r="76" ht="12" hidden="1">
      <c r="C76" s="25"/>
    </row>
    <row r="77" ht="12" hidden="1">
      <c r="C77" s="25"/>
    </row>
    <row r="78" ht="12" hidden="1">
      <c r="C78" s="25"/>
    </row>
    <row r="79" ht="12" hidden="1">
      <c r="C79" s="25"/>
    </row>
    <row r="80" ht="12" hidden="1">
      <c r="C80" s="25"/>
    </row>
    <row r="81" ht="12" hidden="1">
      <c r="C81" s="25"/>
    </row>
    <row r="82" ht="12" hidden="1">
      <c r="C82" s="25"/>
    </row>
    <row r="83" ht="12" hidden="1">
      <c r="C83" s="25"/>
    </row>
    <row r="84" ht="12" hidden="1">
      <c r="C84" s="25"/>
    </row>
    <row r="85" ht="12" hidden="1">
      <c r="C85" s="25"/>
    </row>
    <row r="86" ht="12" hidden="1">
      <c r="C86" s="25"/>
    </row>
    <row r="87" ht="12" hidden="1">
      <c r="C87" s="25"/>
    </row>
    <row r="88" ht="12" hidden="1">
      <c r="C88" s="25"/>
    </row>
    <row r="89" ht="12" hidden="1">
      <c r="C89" s="25"/>
    </row>
    <row r="90" ht="12" hidden="1">
      <c r="C90" s="25"/>
    </row>
    <row r="91" ht="12" hidden="1">
      <c r="C91" s="25"/>
    </row>
    <row r="92" ht="12" hidden="1">
      <c r="C92" s="25"/>
    </row>
    <row r="93" ht="12" hidden="1">
      <c r="C93" s="25"/>
    </row>
    <row r="94" ht="12" hidden="1">
      <c r="C94" s="25"/>
    </row>
    <row r="95" ht="12" hidden="1">
      <c r="C95" s="25"/>
    </row>
    <row r="96" ht="12" hidden="1">
      <c r="C96" s="25"/>
    </row>
    <row r="97" ht="12" hidden="1">
      <c r="C97" s="25"/>
    </row>
    <row r="98" ht="12" hidden="1">
      <c r="C98" s="25"/>
    </row>
    <row r="99" ht="12" hidden="1">
      <c r="C99" s="25"/>
    </row>
    <row r="100" ht="12" hidden="1">
      <c r="C100" s="25"/>
    </row>
    <row r="101" ht="12" hidden="1">
      <c r="C101" s="25"/>
    </row>
    <row r="102" ht="12" hidden="1">
      <c r="C102" s="25"/>
    </row>
    <row r="103" ht="12" hidden="1">
      <c r="C103" s="25"/>
    </row>
    <row r="104" ht="12" hidden="1">
      <c r="C104" s="25"/>
    </row>
    <row r="105" ht="12" hidden="1">
      <c r="C105" s="25"/>
    </row>
    <row r="106" ht="12" hidden="1">
      <c r="C106" s="25"/>
    </row>
    <row r="107" ht="12" hidden="1">
      <c r="C107" s="25"/>
    </row>
    <row r="108" ht="12" hidden="1">
      <c r="C108" s="25"/>
    </row>
    <row r="109" ht="12" hidden="1">
      <c r="C109" s="25"/>
    </row>
    <row r="110" ht="12" hidden="1">
      <c r="C110" s="25"/>
    </row>
    <row r="111" ht="12" hidden="1">
      <c r="C111" s="25"/>
    </row>
    <row r="112" ht="12" hidden="1">
      <c r="C112" s="25"/>
    </row>
    <row r="113" ht="12" hidden="1">
      <c r="C113" s="25"/>
    </row>
    <row r="114" ht="12" hidden="1">
      <c r="C114" s="25"/>
    </row>
    <row r="115" ht="12" hidden="1">
      <c r="C115" s="25"/>
    </row>
    <row r="116" ht="12" hidden="1">
      <c r="C116" s="25"/>
    </row>
    <row r="117" ht="12" hidden="1">
      <c r="C117" s="25"/>
    </row>
    <row r="118" ht="12" hidden="1">
      <c r="C118" s="25"/>
    </row>
    <row r="119" ht="12" hidden="1">
      <c r="C119" s="25"/>
    </row>
    <row r="120" ht="12" hidden="1">
      <c r="C120" s="25"/>
    </row>
    <row r="121" ht="12" hidden="1">
      <c r="C121" s="25"/>
    </row>
    <row r="122" ht="12" hidden="1">
      <c r="C122" s="25"/>
    </row>
    <row r="123" ht="12" hidden="1">
      <c r="C123" s="25"/>
    </row>
    <row r="124" ht="12" hidden="1">
      <c r="C124" s="25"/>
    </row>
    <row r="125" ht="12" hidden="1">
      <c r="C125" s="25"/>
    </row>
    <row r="126" ht="12" hidden="1">
      <c r="C126" s="25"/>
    </row>
    <row r="127" ht="12" hidden="1">
      <c r="C127" s="25"/>
    </row>
    <row r="128" ht="12" hidden="1">
      <c r="C128" s="25"/>
    </row>
    <row r="129" ht="12" hidden="1">
      <c r="C129" s="25"/>
    </row>
    <row r="130" ht="12" hidden="1">
      <c r="C130" s="25"/>
    </row>
    <row r="131" ht="12" hidden="1">
      <c r="C131" s="25"/>
    </row>
    <row r="132" ht="12" hidden="1">
      <c r="C132" s="25"/>
    </row>
    <row r="133" ht="12" hidden="1">
      <c r="C133" s="25"/>
    </row>
    <row r="134" ht="12" hidden="1">
      <c r="C134" s="25"/>
    </row>
    <row r="135" ht="12" hidden="1">
      <c r="C135" s="25"/>
    </row>
    <row r="136" ht="12" hidden="1">
      <c r="C136" s="25"/>
    </row>
    <row r="137" ht="12" hidden="1">
      <c r="C137" s="25"/>
    </row>
    <row r="138" ht="12" hidden="1">
      <c r="C138" s="25"/>
    </row>
    <row r="139" ht="12" hidden="1">
      <c r="C139" s="25"/>
    </row>
    <row r="140" ht="12" hidden="1">
      <c r="C140" s="25"/>
    </row>
    <row r="141" ht="12" hidden="1">
      <c r="C141" s="25"/>
    </row>
    <row r="142" ht="12" hidden="1">
      <c r="C142" s="25"/>
    </row>
    <row r="143" ht="12" hidden="1">
      <c r="C143" s="25"/>
    </row>
    <row r="144" ht="12" hidden="1">
      <c r="C144" s="25"/>
    </row>
    <row r="145" ht="12" hidden="1">
      <c r="C145" s="25"/>
    </row>
    <row r="146" ht="12" hidden="1">
      <c r="C146" s="25"/>
    </row>
    <row r="147" ht="12" hidden="1">
      <c r="C147" s="25"/>
    </row>
    <row r="148" ht="12" hidden="1">
      <c r="C148" s="25"/>
    </row>
    <row r="149" ht="12" hidden="1">
      <c r="C149" s="25"/>
    </row>
    <row r="150" ht="12" hidden="1">
      <c r="C150" s="25"/>
    </row>
    <row r="151" ht="12" hidden="1">
      <c r="C151" s="25"/>
    </row>
    <row r="152" ht="12" hidden="1">
      <c r="C152" s="25"/>
    </row>
    <row r="153" ht="12" hidden="1">
      <c r="C153" s="25"/>
    </row>
    <row r="154" ht="12" hidden="1">
      <c r="C154" s="25"/>
    </row>
    <row r="155" ht="12" hidden="1">
      <c r="C155" s="25"/>
    </row>
    <row r="156" ht="12" hidden="1">
      <c r="C156" s="25"/>
    </row>
    <row r="157" ht="12" hidden="1">
      <c r="C157" s="25"/>
    </row>
    <row r="158" ht="12" hidden="1">
      <c r="C158" s="25"/>
    </row>
    <row r="159" ht="12" hidden="1">
      <c r="C159" s="25"/>
    </row>
    <row r="160" ht="12" hidden="1">
      <c r="C160" s="25"/>
    </row>
    <row r="161" ht="12" hidden="1">
      <c r="C161" s="25"/>
    </row>
    <row r="162" ht="12" hidden="1">
      <c r="C162" s="25"/>
    </row>
    <row r="163" ht="12" hidden="1">
      <c r="C163" s="25"/>
    </row>
    <row r="164" ht="12" hidden="1">
      <c r="C164" s="25"/>
    </row>
    <row r="165" ht="12" hidden="1">
      <c r="C165" s="25"/>
    </row>
    <row r="166" ht="12" hidden="1">
      <c r="C166" s="25"/>
    </row>
    <row r="167" ht="12" hidden="1">
      <c r="C167" s="25"/>
    </row>
    <row r="168" ht="12" hidden="1">
      <c r="C168" s="25"/>
    </row>
    <row r="169" ht="12" hidden="1">
      <c r="C169" s="25"/>
    </row>
    <row r="170" ht="12" hidden="1">
      <c r="C170" s="25"/>
    </row>
    <row r="171" ht="12" hidden="1">
      <c r="C171" s="25"/>
    </row>
    <row r="172" ht="12" hidden="1">
      <c r="C172" s="25"/>
    </row>
    <row r="173" ht="12" hidden="1">
      <c r="C173" s="25"/>
    </row>
    <row r="174" ht="12" hidden="1">
      <c r="C174" s="25"/>
    </row>
    <row r="175" ht="12" hidden="1">
      <c r="C175" s="25"/>
    </row>
    <row r="176" ht="12" hidden="1">
      <c r="C176" s="25"/>
    </row>
    <row r="177" ht="12" hidden="1">
      <c r="C177" s="25"/>
    </row>
    <row r="178" ht="12" hidden="1">
      <c r="C178" s="25"/>
    </row>
    <row r="179" ht="12" hidden="1">
      <c r="C179" s="25"/>
    </row>
    <row r="180" ht="12" hidden="1">
      <c r="C180" s="25"/>
    </row>
    <row r="181" ht="12" hidden="1">
      <c r="C181" s="25"/>
    </row>
    <row r="182" ht="12" hidden="1">
      <c r="C182" s="25"/>
    </row>
    <row r="183" ht="12" hidden="1">
      <c r="C183" s="25"/>
    </row>
    <row r="184" ht="12" hidden="1">
      <c r="C184" s="25"/>
    </row>
    <row r="185" ht="12" hidden="1">
      <c r="C185" s="25"/>
    </row>
    <row r="186" ht="12" hidden="1">
      <c r="C186" s="25"/>
    </row>
    <row r="187" ht="12" hidden="1">
      <c r="C187" s="25"/>
    </row>
    <row r="188" ht="12" hidden="1">
      <c r="C188" s="25"/>
    </row>
    <row r="189" ht="12" hidden="1">
      <c r="C189" s="25"/>
    </row>
    <row r="190" ht="12" hidden="1">
      <c r="C190" s="25"/>
    </row>
    <row r="191" ht="12" hidden="1">
      <c r="C191" s="25"/>
    </row>
    <row r="192" ht="12" hidden="1">
      <c r="C192" s="25"/>
    </row>
    <row r="193" ht="12" hidden="1">
      <c r="C193" s="25"/>
    </row>
    <row r="194" ht="12" hidden="1">
      <c r="C194" s="25"/>
    </row>
    <row r="195" ht="12" hidden="1">
      <c r="C195" s="25"/>
    </row>
    <row r="196" ht="12" hidden="1">
      <c r="C196" s="25"/>
    </row>
    <row r="197" ht="12" hidden="1">
      <c r="C197" s="25"/>
    </row>
    <row r="198" ht="12" hidden="1">
      <c r="C198" s="25"/>
    </row>
    <row r="199" ht="12" hidden="1">
      <c r="C199" s="25"/>
    </row>
    <row r="200" ht="12" hidden="1">
      <c r="C200" s="25"/>
    </row>
    <row r="201" ht="12" hidden="1">
      <c r="C201" s="25"/>
    </row>
    <row r="202" ht="12" hidden="1">
      <c r="C202" s="25"/>
    </row>
    <row r="203" ht="12" hidden="1">
      <c r="C203" s="25"/>
    </row>
    <row r="204" ht="12" hidden="1">
      <c r="C204" s="25"/>
    </row>
    <row r="205" ht="12" hidden="1">
      <c r="C205" s="25"/>
    </row>
    <row r="206" ht="12" hidden="1">
      <c r="C206" s="25"/>
    </row>
    <row r="207" ht="12" hidden="1">
      <c r="C207" s="25"/>
    </row>
    <row r="208" ht="12" hidden="1">
      <c r="C208" s="25"/>
    </row>
    <row r="209" ht="12" hidden="1">
      <c r="C209" s="25"/>
    </row>
    <row r="210" ht="12" hidden="1"/>
    <row r="211" ht="12" hidden="1"/>
  </sheetData>
  <sheetProtection password="8F37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I98"/>
  <sheetViews>
    <sheetView zoomScale="75" zoomScaleNormal="75" zoomScalePageLayoutView="0" workbookViewId="0" topLeftCell="A1">
      <selection activeCell="D2" sqref="D2"/>
    </sheetView>
  </sheetViews>
  <sheetFormatPr defaultColWidth="0" defaultRowHeight="12.75" zeroHeight="1"/>
  <cols>
    <col min="1" max="1" width="2.125" style="29" customWidth="1"/>
    <col min="2" max="2" width="37.625" style="29" customWidth="1"/>
    <col min="3" max="3" width="7.375" style="29" customWidth="1"/>
    <col min="4" max="8" width="15.625" style="29" customWidth="1"/>
    <col min="9" max="9" width="1.875" style="29" customWidth="1"/>
    <col min="10" max="16384" width="0" style="29" hidden="1" customWidth="1"/>
  </cols>
  <sheetData>
    <row r="1" spans="1:8" ht="27" customHeight="1">
      <c r="A1" s="33">
        <f ca="1">IF(NOW()&gt;Data!B2,0,1)</f>
        <v>1</v>
      </c>
      <c r="B1" s="34"/>
      <c r="C1" s="34"/>
      <c r="D1" s="34"/>
      <c r="E1" s="34"/>
      <c r="F1" s="34"/>
      <c r="G1" s="34"/>
      <c r="H1" s="34"/>
    </row>
    <row r="2" spans="1:9" s="17" customFormat="1" ht="15.75">
      <c r="A2" s="35"/>
      <c r="B2" s="99"/>
      <c r="C2" s="100" t="str">
        <f>'Liquid fuels'!C2</f>
        <v>Omschrijving</v>
      </c>
      <c r="D2" s="36" t="str">
        <f>language!A32</f>
        <v>KOLEN</v>
      </c>
      <c r="E2" s="36" t="s">
        <v>145</v>
      </c>
      <c r="F2" s="36" t="s">
        <v>146</v>
      </c>
      <c r="G2" s="36" t="s">
        <v>147</v>
      </c>
      <c r="H2" s="37" t="s">
        <v>148</v>
      </c>
      <c r="I2" s="21"/>
    </row>
    <row r="3" spans="1:8" ht="15.75">
      <c r="A3" s="34"/>
      <c r="B3" s="101" t="str">
        <f>'Liquid fuels'!B3</f>
        <v>Onderste verbrandingswaarde</v>
      </c>
      <c r="C3" s="106" t="str">
        <f>'Liquid fuels'!C3</f>
        <v>kJ/kg</v>
      </c>
      <c r="D3" s="195">
        <v>25870</v>
      </c>
      <c r="E3" s="195">
        <v>10000</v>
      </c>
      <c r="F3" s="195">
        <v>15000</v>
      </c>
      <c r="G3" s="195">
        <v>20000</v>
      </c>
      <c r="H3" s="196">
        <v>25000</v>
      </c>
    </row>
    <row r="4" spans="1:8" ht="15.75">
      <c r="A4" s="34"/>
      <c r="B4" s="103" t="str">
        <f>'Liquid fuels'!B4</f>
        <v>Gehalte fossiele brandstof</v>
      </c>
      <c r="C4" s="104" t="str">
        <f>'Liquid fuels'!C4</f>
        <v>%</v>
      </c>
      <c r="D4" s="40">
        <v>100</v>
      </c>
      <c r="E4" s="40">
        <v>100</v>
      </c>
      <c r="F4" s="40">
        <v>50</v>
      </c>
      <c r="G4" s="40">
        <v>100</v>
      </c>
      <c r="H4" s="41">
        <v>100</v>
      </c>
    </row>
    <row r="5" spans="1:8" ht="15.75">
      <c r="A5" s="34"/>
      <c r="B5" s="101" t="str">
        <f>'Liquid fuels'!B5</f>
        <v>Onderste verbrandingswaarde</v>
      </c>
      <c r="C5" s="106" t="str">
        <f>'Liquid fuels'!C5</f>
        <v>MJ/kg</v>
      </c>
      <c r="D5" s="140">
        <f>IF($A1=1,IF(D3="","",D3/1000),"")</f>
        <v>25.87</v>
      </c>
      <c r="E5" s="140">
        <f>IF($A1=1,IF(E3="","",E3/1000),"")</f>
        <v>10</v>
      </c>
      <c r="F5" s="140">
        <f>IF($A1=1,IF(F3="","",F3/1000),"")</f>
        <v>15</v>
      </c>
      <c r="G5" s="140">
        <f>IF($A1=1,IF(G3="","",G3/1000),"")</f>
        <v>20</v>
      </c>
      <c r="H5" s="141">
        <f>IF($A1=1,IF(H3="","",H3/1000),"")</f>
        <v>25</v>
      </c>
    </row>
    <row r="6" spans="1:8" s="17" customFormat="1" ht="15.75">
      <c r="A6" s="35"/>
      <c r="B6" s="101" t="str">
        <f>'Liquid fuels'!B6</f>
        <v>Bovenste verbrandingswaarde</v>
      </c>
      <c r="C6" s="106" t="str">
        <f>'Liquid fuels'!C6</f>
        <v>MJ/kg</v>
      </c>
      <c r="D6" s="109">
        <f>IF(D5="","",D5+(D18-D17)*44.0136/21.629)</f>
        <v>27.0124003206968</v>
      </c>
      <c r="E6" s="109">
        <f>IF(E5="","",E5+(E18-E17)*44.0136/21.629)</f>
        <v>11.891675184243375</v>
      </c>
      <c r="F6" s="109">
        <f>IF(F5="","",F5+(F18-F17)*44.0136/21.629)</f>
        <v>16.722775614221646</v>
      </c>
      <c r="G6" s="109">
        <f>IF(G5="","",G5+(G18-G17)*44.0136/21.629)</f>
        <v>21.553876044199917</v>
      </c>
      <c r="H6" s="110">
        <f>IF(H5="","",H5+(H18-H17)*44.0136/21.629)</f>
        <v>26.38497647417819</v>
      </c>
    </row>
    <row r="7" spans="1:8" s="17" customFormat="1" ht="15.75">
      <c r="A7" s="35"/>
      <c r="B7" s="101" t="str">
        <f>'Liquid fuels'!B7</f>
        <v>Wobbe-index</v>
      </c>
      <c r="C7" s="106" t="str">
        <f>'Liquid fuels'!C7</f>
        <v>MJ/kg</v>
      </c>
      <c r="D7" s="142"/>
      <c r="E7" s="142"/>
      <c r="F7" s="142"/>
      <c r="G7" s="142"/>
      <c r="H7" s="143"/>
    </row>
    <row r="8" spans="1:8" ht="15.75">
      <c r="A8" s="34"/>
      <c r="B8" s="101" t="str">
        <f>'Liquid fuels'!B8</f>
        <v>Berekeningsmethode</v>
      </c>
      <c r="C8" s="106"/>
      <c r="D8" s="113" t="str">
        <f>IF($A1=1,IF(OR(D30=0,D30=""),IF(D3="","",language!$A$198),language!$A$199),"")</f>
        <v>samenstelling</v>
      </c>
      <c r="E8" s="113" t="str">
        <f>IF($A1=1,IF(OR(E30=0,E30=""),IF(E3="","",language!$A$198),language!$A$199),"")</f>
        <v>DIN1942</v>
      </c>
      <c r="F8" s="113" t="str">
        <f>IF($A1=1,IF(OR(F30=0,F30=""),IF(F3="","",language!$A$198),language!$A$199),"")</f>
        <v>DIN1942</v>
      </c>
      <c r="G8" s="113" t="str">
        <f>IF($A1=1,IF(OR(G30=0,G30=""),IF(G3="","",language!$A$198),language!$A$199),"")</f>
        <v>DIN1942</v>
      </c>
      <c r="H8" s="114" t="str">
        <f>IF($A1=1,IF(OR(H30=0,H30=""),IF(H3="","",language!$A$198),language!$A$199),"")</f>
        <v>DIN1942</v>
      </c>
    </row>
    <row r="9" spans="1:8" ht="15.75">
      <c r="A9" s="34"/>
      <c r="B9" s="105" t="str">
        <f>'Liquid fuels'!B9</f>
        <v>Koolstofdioxide</v>
      </c>
      <c r="C9" s="106" t="str">
        <f>'Liquid fuels'!C9</f>
        <v>Nm3/kg</v>
      </c>
      <c r="D9" s="113">
        <f>IF(D$8="","",IF(D$8=language!$A$198,D47,D39))</f>
        <v>1.2547978363500125</v>
      </c>
      <c r="E9" s="113">
        <f>IF(E$8="","",IF(E$8=language!$A$198,E47,E39))</f>
        <v>0.5416</v>
      </c>
      <c r="F9" s="113">
        <f>IF(F$8="","",IF(F$8=language!$A$198,F47,F39))</f>
        <v>0.7615999999999999</v>
      </c>
      <c r="G9" s="113">
        <f>IF(G$8="","",IF(G$8=language!$A$198,G47,G39))</f>
        <v>0.9815999999999999</v>
      </c>
      <c r="H9" s="114">
        <f>IF(H$8="","",IF(H$8=language!$A$198,H47,H39))</f>
        <v>1.2015999999999998</v>
      </c>
    </row>
    <row r="10" spans="1:8" ht="15.75">
      <c r="A10" s="34"/>
      <c r="B10" s="105"/>
      <c r="C10" s="106" t="str">
        <f>'Liquid fuels'!C10</f>
        <v>kg/GJ</v>
      </c>
      <c r="D10" s="113">
        <f>IF(OR(D9="",D5=""),"",D9/'Gaseous fuels'!$L$29*'Gaseous fuels'!$K$29*1000/D5)</f>
        <v>95.95615610056198</v>
      </c>
      <c r="E10" s="113">
        <f>IF(OR(E9="",E5=""),"",E9/'Gaseous fuels'!$L$29*'Gaseous fuels'!$K$29*1000/E5)</f>
        <v>107.1455566593695</v>
      </c>
      <c r="F10" s="113">
        <f>IF(OR(F9="",F5=""),"",F9/'Gaseous fuels'!$L$29*'Gaseous fuels'!$K$29*1000/F5)</f>
        <v>100.4456621759919</v>
      </c>
      <c r="G10" s="113">
        <f>IF(OR(G9="",G5=""),"",G9/'Gaseous fuels'!$L$29*'Gaseous fuels'!$K$29*1000/G5)</f>
        <v>97.09571493430309</v>
      </c>
      <c r="H10" s="114">
        <f>IF(OR(H9="",H5=""),"",H9/'Gaseous fuels'!$L$29*'Gaseous fuels'!$K$29*1000/H5)</f>
        <v>95.0857465892898</v>
      </c>
    </row>
    <row r="11" spans="1:8" ht="15.75">
      <c r="A11" s="34"/>
      <c r="B11" s="105" t="str">
        <f>'Liquid fuels'!B11</f>
        <v>Waterdamp</v>
      </c>
      <c r="C11" s="106" t="str">
        <f>'Liquid fuels'!C11</f>
        <v>Nm3/kg</v>
      </c>
      <c r="D11" s="113">
        <f>IF(D$8="","",IF(D$8=language!$A$198,D48,D40))</f>
        <v>0.561394126732443</v>
      </c>
      <c r="E11" s="113">
        <f>IF(E$8="","",IF(E$8=language!$A$198,E48,E40))</f>
        <v>0.93</v>
      </c>
      <c r="F11" s="113">
        <f>IF(F$8="","",IF(F$8=language!$A$198,F48,F40))</f>
        <v>0.8470000000000001</v>
      </c>
      <c r="G11" s="113">
        <f>IF(G$8="","",IF(G$8=language!$A$198,G48,G40))</f>
        <v>0.764</v>
      </c>
      <c r="H11" s="114">
        <f>IF(H$8="","",IF(H$8=language!$A$198,H48,H40))</f>
        <v>0.681</v>
      </c>
    </row>
    <row r="12" spans="1:8" ht="15.75">
      <c r="A12" s="34"/>
      <c r="B12" s="105" t="str">
        <f>'Liquid fuels'!B12</f>
        <v>Brandstofstikstof</v>
      </c>
      <c r="C12" s="106" t="str">
        <f>'Liquid fuels'!C12</f>
        <v>Nm3/kg</v>
      </c>
      <c r="D12" s="113">
        <f>IF(D$8="","",IF(D$8=language!$A$198,D49,D41))</f>
        <v>0.011012549315684636</v>
      </c>
      <c r="E12" s="113">
        <f>IF(E$8="","",IF(E$8=language!$A$198,E49,E41))</f>
        <v>0</v>
      </c>
      <c r="F12" s="113">
        <f>IF(F$8="","",IF(F$8=language!$A$198,F49,F41))</f>
        <v>0</v>
      </c>
      <c r="G12" s="113">
        <f>IF(G$8="","",IF(G$8=language!$A$198,G49,G41))</f>
        <v>0</v>
      </c>
      <c r="H12" s="114">
        <f>IF(H$8="","",IF(H$8=language!$A$198,H49,H41))</f>
        <v>0</v>
      </c>
    </row>
    <row r="13" spans="1:8" ht="15.75">
      <c r="A13" s="34"/>
      <c r="B13" s="105" t="str">
        <f>'Liquid fuels'!B13</f>
        <v>Zwaveldioxide</v>
      </c>
      <c r="C13" s="106" t="str">
        <f>'Liquid fuels'!C13</f>
        <v>Nm3/kg</v>
      </c>
      <c r="D13" s="113">
        <f>IF(D$8="","",IF(D$8=language!$A$198,D50,D42))</f>
        <v>0.006413973799126637</v>
      </c>
      <c r="E13" s="113">
        <f>IF(E$8="","",IF(E$8=language!$A$198,E50,E42))</f>
        <v>0</v>
      </c>
      <c r="F13" s="113">
        <f>IF(F$8="","",IF(F$8=language!$A$198,F50,F42))</f>
        <v>0</v>
      </c>
      <c r="G13" s="113">
        <f>IF(G$8="","",IF(G$8=language!$A$198,G50,G42))</f>
        <v>0</v>
      </c>
      <c r="H13" s="114">
        <f>IF(H$8="","",IF(H$8=language!$A$198,H50,H42))</f>
        <v>0</v>
      </c>
    </row>
    <row r="14" spans="1:8" ht="15.75">
      <c r="A14" s="34"/>
      <c r="B14" s="105"/>
      <c r="C14" s="106" t="str">
        <f>'Liquid fuels'!C14</f>
        <v>kg/GJ</v>
      </c>
      <c r="D14" s="111">
        <f>IF(D8="","",D13/22.4*64*1000/D5)</f>
        <v>0.7083741564003133</v>
      </c>
      <c r="E14" s="111">
        <f>IF(E8="","",E13/22.4*64*1000/E5)</f>
        <v>0</v>
      </c>
      <c r="F14" s="111">
        <f>IF(F8="","",F13/22.4*64*1000/F5)</f>
        <v>0</v>
      </c>
      <c r="G14" s="111">
        <f>IF(G8="","",G13/22.4*64*1000/G5)</f>
        <v>0</v>
      </c>
      <c r="H14" s="112">
        <f>IF(H8="","",H13/22.4*64*1000/H5)</f>
        <v>0</v>
      </c>
    </row>
    <row r="15" spans="1:8" ht="15.75">
      <c r="A15" s="34"/>
      <c r="B15" s="101" t="str">
        <f>'Liquid fuels'!B15</f>
        <v>Stoichiometrisch luchtverbruik</v>
      </c>
      <c r="C15" s="106" t="str">
        <f>'Liquid fuels'!C15</f>
        <v>Nm3/kg</v>
      </c>
      <c r="D15" s="113">
        <f>IF(D8="","",IF(D8=language!$A$198,D51,D43))</f>
        <v>6.994247869338144</v>
      </c>
      <c r="E15" s="113">
        <f>IF(E8="","",IF(E8=language!$A$198,E51,E43))</f>
        <v>2.9028</v>
      </c>
      <c r="F15" s="113">
        <f>IF(F8="","",IF(F8=language!$A$198,F51,F43))</f>
        <v>4.1338</v>
      </c>
      <c r="G15" s="113">
        <f>IF(G8="","",IF(G8=language!$A$198,G51,G43))</f>
        <v>5.364800000000001</v>
      </c>
      <c r="H15" s="114">
        <f>IF(H8="","",IF(H8=language!$A$198,H51,H43))</f>
        <v>6.5958000000000006</v>
      </c>
    </row>
    <row r="16" spans="1:8" ht="15.75">
      <c r="A16" s="34"/>
      <c r="B16" s="101" t="str">
        <f>'Liquid fuels'!B16</f>
        <v>Stoichiometrisch rookgasvolume</v>
      </c>
      <c r="C16" s="106"/>
      <c r="D16" s="144"/>
      <c r="E16" s="144"/>
      <c r="F16" s="144"/>
      <c r="G16" s="144"/>
      <c r="H16" s="145"/>
    </row>
    <row r="17" spans="1:8" ht="15.75">
      <c r="A17" s="34"/>
      <c r="B17" s="101" t="str">
        <f>'Liquid fuels'!B17</f>
        <v>  droog</v>
      </c>
      <c r="C17" s="106" t="str">
        <f>'Liquid fuels'!C17</f>
        <v>Nm3/kg</v>
      </c>
      <c r="D17" s="113">
        <f>IF(D8="","",IF(D8=language!$A$198,D52,D44))</f>
        <v>6.801177300176627</v>
      </c>
      <c r="E17" s="113">
        <f>IF(E8="","",IF(E8=language!$A$198,E52,E44))</f>
        <v>2.8360000000000003</v>
      </c>
      <c r="F17" s="113">
        <f>IF(F8="","",IF(F8=language!$A$198,F52,F44))</f>
        <v>4.029</v>
      </c>
      <c r="G17" s="113">
        <f>IF(G8="","",IF(G8=language!$A$198,G52,G44))</f>
        <v>5.222</v>
      </c>
      <c r="H17" s="114">
        <f>IF(H8="","",IF(H8=language!$A$198,H52,H44))</f>
        <v>6.415</v>
      </c>
    </row>
    <row r="18" spans="1:8" ht="15.75">
      <c r="A18" s="34"/>
      <c r="B18" s="103" t="str">
        <f>'Liquid fuels'!B18</f>
        <v>  nat</v>
      </c>
      <c r="C18" s="128" t="str">
        <f>'Liquid fuels'!C18</f>
        <v>Nm3/kg</v>
      </c>
      <c r="D18" s="146">
        <f>IF(D8="","",IF(D8=language!$A$198,D53,D45))</f>
        <v>7.36257142690907</v>
      </c>
      <c r="E18" s="146">
        <f>IF(E8="","",IF(E8=language!$A$198,E53,E45))</f>
        <v>3.7656</v>
      </c>
      <c r="F18" s="146">
        <f>IF(F8="","",IF(F8=language!$A$198,F53,F45))</f>
        <v>4.8756</v>
      </c>
      <c r="G18" s="146">
        <f>IF(G8="","",IF(G8=language!$A$198,G53,G45))</f>
        <v>5.985600000000001</v>
      </c>
      <c r="H18" s="147">
        <f>IF(H8="","",IF(H8=language!$A$198,H53,H45))</f>
        <v>7.0956</v>
      </c>
    </row>
    <row r="19" spans="1:8" ht="15.75">
      <c r="A19" s="34"/>
      <c r="B19" s="105" t="str">
        <f>'Liquid fuels'!B19</f>
        <v>mol C/kg</v>
      </c>
      <c r="C19" s="106"/>
      <c r="D19" s="42"/>
      <c r="E19" s="42"/>
      <c r="F19" s="42"/>
      <c r="G19" s="42"/>
      <c r="H19" s="43"/>
    </row>
    <row r="20" spans="1:8" ht="15.75">
      <c r="A20" s="34"/>
      <c r="B20" s="105" t="str">
        <f>'Liquid fuels'!B20</f>
        <v>mol H/kg</v>
      </c>
      <c r="C20" s="106"/>
      <c r="D20" s="42"/>
      <c r="E20" s="42"/>
      <c r="F20" s="42"/>
      <c r="G20" s="42"/>
      <c r="H20" s="43"/>
    </row>
    <row r="21" spans="1:8" ht="15.75">
      <c r="A21" s="34"/>
      <c r="B21" s="105" t="str">
        <f>'Liquid fuels'!B21</f>
        <v>mol N/kg</v>
      </c>
      <c r="C21" s="106"/>
      <c r="D21" s="42"/>
      <c r="E21" s="42"/>
      <c r="F21" s="42"/>
      <c r="G21" s="42"/>
      <c r="H21" s="43"/>
    </row>
    <row r="22" spans="1:8" ht="15.75">
      <c r="A22" s="34"/>
      <c r="B22" s="105" t="str">
        <f>'Liquid fuels'!B22</f>
        <v>mol S/kg</v>
      </c>
      <c r="C22" s="106"/>
      <c r="D22" s="42"/>
      <c r="E22" s="42"/>
      <c r="F22" s="42"/>
      <c r="G22" s="42"/>
      <c r="H22" s="43"/>
    </row>
    <row r="23" spans="1:8" ht="15.75">
      <c r="A23" s="34"/>
      <c r="B23" s="129" t="str">
        <f>'Liquid fuels'!B23</f>
        <v>mol O/kg</v>
      </c>
      <c r="C23" s="128"/>
      <c r="D23" s="44"/>
      <c r="E23" s="44"/>
      <c r="F23" s="44"/>
      <c r="G23" s="44"/>
      <c r="H23" s="45"/>
    </row>
    <row r="24" spans="1:8" ht="15.75">
      <c r="A24" s="34"/>
      <c r="B24" s="105" t="str">
        <f>language!A211</f>
        <v>C (gew%,droog)</v>
      </c>
      <c r="C24" s="106"/>
      <c r="D24" s="46">
        <v>0.738</v>
      </c>
      <c r="E24" s="46"/>
      <c r="F24" s="46"/>
      <c r="G24" s="46"/>
      <c r="H24" s="47"/>
    </row>
    <row r="25" spans="1:8" ht="15.75">
      <c r="A25" s="34"/>
      <c r="B25" s="105" t="str">
        <f>language!A212</f>
        <v>H (gew%,droog)</v>
      </c>
      <c r="C25" s="106"/>
      <c r="D25" s="46">
        <v>0.047</v>
      </c>
      <c r="E25" s="46"/>
      <c r="F25" s="46"/>
      <c r="G25" s="46"/>
      <c r="H25" s="47"/>
    </row>
    <row r="26" spans="1:8" ht="15.75">
      <c r="A26" s="34"/>
      <c r="B26" s="105" t="str">
        <f>language!A213</f>
        <v>N (gew%,droog)</v>
      </c>
      <c r="C26" s="106"/>
      <c r="D26" s="46">
        <v>0.015</v>
      </c>
      <c r="E26" s="46"/>
      <c r="F26" s="46"/>
      <c r="G26" s="46"/>
      <c r="H26" s="47"/>
    </row>
    <row r="27" spans="1:8" ht="15.75">
      <c r="A27" s="34"/>
      <c r="B27" s="105" t="str">
        <f>language!A214</f>
        <v>S (gew%,droog)</v>
      </c>
      <c r="C27" s="106"/>
      <c r="D27" s="46">
        <v>0.01</v>
      </c>
      <c r="E27" s="46"/>
      <c r="F27" s="46"/>
      <c r="G27" s="46"/>
      <c r="H27" s="47"/>
    </row>
    <row r="28" spans="1:8" ht="15.75">
      <c r="A28" s="34"/>
      <c r="B28" s="105" t="str">
        <f>language!A215</f>
        <v>O (gew% droog)</v>
      </c>
      <c r="C28" s="106"/>
      <c r="D28" s="46">
        <v>0.069</v>
      </c>
      <c r="E28" s="46"/>
      <c r="F28" s="46"/>
      <c r="G28" s="46"/>
      <c r="H28" s="47"/>
    </row>
    <row r="29" spans="1:8" ht="15.75">
      <c r="A29" s="34"/>
      <c r="B29" s="129" t="str">
        <f>language!A218</f>
        <v>Vochtgehalte</v>
      </c>
      <c r="C29" s="128"/>
      <c r="D29" s="48">
        <v>0.082</v>
      </c>
      <c r="E29" s="48"/>
      <c r="F29" s="48"/>
      <c r="G29" s="48"/>
      <c r="H29" s="49"/>
    </row>
    <row r="30" spans="1:8" ht="15.75">
      <c r="A30" s="34"/>
      <c r="B30" s="105" t="str">
        <f aca="true" t="shared" si="0" ref="B30:B35">B24</f>
        <v>C (gew%,droog)</v>
      </c>
      <c r="C30" s="106"/>
      <c r="D30" s="130">
        <f>IF($A1=1,IF(SUM(D19:D29)=0,"",IF(SUM(D24:D29)=0,D19*12/1000,D24)),"")</f>
        <v>0.738</v>
      </c>
      <c r="E30" s="130">
        <f>IF($A1=1,IF(SUM(E19:E29)=0,"",IF(SUM(E24:E29)=0,E19*12/1000,E24)),"")</f>
      </c>
      <c r="F30" s="130">
        <f>IF($A1=1,IF(SUM(F19:F29)=0,"",IF(SUM(F24:F29)=0,F19*12/1000,F24)),"")</f>
      </c>
      <c r="G30" s="130">
        <f>IF($A1=1,IF(SUM(G19:G29)=0,"",IF(SUM(G24:G29)=0,G19*12/1000,G24)),"")</f>
      </c>
      <c r="H30" s="131">
        <f>IF($A1=1,IF(SUM(H19:H29)=0,"",IF(SUM(H24:H29)=0,H19*12/1000,H24)),"")</f>
      </c>
    </row>
    <row r="31" spans="1:8" ht="15.75">
      <c r="A31" s="34"/>
      <c r="B31" s="105" t="str">
        <f t="shared" si="0"/>
        <v>H (gew%,droog)</v>
      </c>
      <c r="C31" s="106"/>
      <c r="D31" s="130">
        <f>IF($A1=1,IF(SUM(D19:D29)=0,"",IF(SUM(D24:D29)=0,D20/1000,D25)),"")</f>
        <v>0.047</v>
      </c>
      <c r="E31" s="130">
        <f>IF($A1=1,IF(SUM(E19:E29)=0,"",IF(SUM(E24:E29)=0,E20/1000,E25)),"")</f>
      </c>
      <c r="F31" s="130">
        <f>IF($A1=1,IF(SUM(F19:F29)=0,"",IF(SUM(F24:F29)=0,F20/1000,F25)),"")</f>
      </c>
      <c r="G31" s="130">
        <f>IF($A1=1,IF(SUM(G19:G29)=0,"",IF(SUM(G24:G29)=0,G20/1000,G25)),"")</f>
      </c>
      <c r="H31" s="132">
        <f>IF($A1=1,IF(SUM(H19:H29)=0,"",IF(SUM(H24:H29)=0,H20/1000,H25)),"")</f>
      </c>
    </row>
    <row r="32" spans="1:8" ht="15.75">
      <c r="A32" s="34"/>
      <c r="B32" s="105" t="str">
        <f t="shared" si="0"/>
        <v>N (gew%,droog)</v>
      </c>
      <c r="C32" s="106"/>
      <c r="D32" s="130">
        <f>IF($A1=1,IF(SUM(D19:D29)=0,"",IF(SUM(D24:D29)=0,D21*14/1000,D26)),"")</f>
        <v>0.015</v>
      </c>
      <c r="E32" s="130">
        <f>IF($A1=1,IF(SUM(E19:E29)=0,"",IF(SUM(E24:E29)=0,E21*14/1000,E26)),"")</f>
      </c>
      <c r="F32" s="130">
        <f>IF($A1=1,IF(SUM(F19:F29)=0,"",IF(SUM(F24:F29)=0,F21*14/1000,F26)),"")</f>
      </c>
      <c r="G32" s="130">
        <f>IF($A1=1,IF(SUM(G19:G29)=0,"",IF(SUM(G24:G29)=0,G21*14/1000,G26)),"")</f>
      </c>
      <c r="H32" s="132">
        <f>IF($A1=1,IF(SUM(H19:H29)=0,"",IF(SUM(H24:H29)=0,H21*14/1000,H26)),"")</f>
      </c>
    </row>
    <row r="33" spans="1:8" ht="15.75">
      <c r="A33" s="34"/>
      <c r="B33" s="105" t="str">
        <f t="shared" si="0"/>
        <v>S (gew%,droog)</v>
      </c>
      <c r="C33" s="106"/>
      <c r="D33" s="130">
        <f>IF($A1=1,IF(SUM(D19:D29)=0,"",IF(SUM(D24:D29)=0,D22*32/1000,D27)),"")</f>
        <v>0.01</v>
      </c>
      <c r="E33" s="130">
        <f>IF($A1=1,IF(SUM(E19:E29)=0,"",IF(SUM(E24:E29)=0,E22*32/1000,E27)),"")</f>
      </c>
      <c r="F33" s="130">
        <f>IF($A1=1,IF(SUM(F19:F29)=0,"",IF(SUM(F24:F29)=0,F22*32/1000,F27)),"")</f>
      </c>
      <c r="G33" s="130">
        <f>IF($A1=1,IF(SUM(G19:G29)=0,"",IF(SUM(G24:G29)=0,G22*32/1000,G27)),"")</f>
      </c>
      <c r="H33" s="132">
        <f>IF($A1=1,IF(SUM(H19:H29)=0,"",IF(SUM(H24:H29)=0,H22*32/1000,H27)),"")</f>
      </c>
    </row>
    <row r="34" spans="1:8" ht="15.75">
      <c r="A34" s="34"/>
      <c r="B34" s="105" t="str">
        <f t="shared" si="0"/>
        <v>O (gew% droog)</v>
      </c>
      <c r="C34" s="106"/>
      <c r="D34" s="130">
        <f>IF($A1=1,IF(SUM(D19:D29)=0,"",IF(SUM(D24:D29)=0,D23*16/1000,D28)),"")</f>
        <v>0.069</v>
      </c>
      <c r="E34" s="130">
        <f>IF($A1=1,IF(SUM(E19:E29)=0,"",IF(SUM(E24:E29)=0,E23*16/1000,E28)),"")</f>
      </c>
      <c r="F34" s="130">
        <f>IF($A1=1,IF(SUM(F19:F29)=0,"",IF(SUM(F24:F29)=0,F23*16/1000,F28)),"")</f>
      </c>
      <c r="G34" s="130">
        <f>IF($A1=1,IF(SUM(G19:G29)=0,"",IF(SUM(G24:G29)=0,G23*16/1000,G28)),"")</f>
      </c>
      <c r="H34" s="132">
        <f>IF($A1=1,IF(SUM(H19:H29)=0,"",IF(SUM(H24:H29)=0,H23*16/1000,H28)),"")</f>
      </c>
    </row>
    <row r="35" spans="1:8" ht="15.75">
      <c r="A35" s="34"/>
      <c r="B35" s="105" t="str">
        <f t="shared" si="0"/>
        <v>Vochtgehalte</v>
      </c>
      <c r="C35" s="148"/>
      <c r="D35" s="130">
        <f>IF($A1=1,IF(D34="","",IF(SUM(D24:D29)=0,0,D29)),"")</f>
        <v>0.082</v>
      </c>
      <c r="E35" s="130">
        <f>IF($A1=1,IF(E34="","",IF(SUM(E24:E29)=0,0,E29)),"")</f>
      </c>
      <c r="F35" s="130">
        <f>IF($A1=1,IF(F34="","",IF(SUM(F24:F29)=0,0,F29)),"")</f>
      </c>
      <c r="G35" s="130">
        <f>IF($A1=1,IF(G34="","",IF(SUM(G24:G29)=0,0,G29)),"")</f>
      </c>
      <c r="H35" s="132">
        <f>IF($A1=1,IF(H34="","",IF(SUM(H24:H29)=0,0,H29)),"")</f>
      </c>
    </row>
    <row r="36" spans="1:8" ht="15.75">
      <c r="A36" s="34"/>
      <c r="B36" s="129" t="str">
        <f>language!A216</f>
        <v>As (gew% droog)</v>
      </c>
      <c r="C36" s="149"/>
      <c r="D36" s="133">
        <f>IF($A1=1,IF(SUM(D19:D29)=0,"",1-D34-D33-D32-D31-D30),"")</f>
        <v>0.121</v>
      </c>
      <c r="E36" s="133">
        <f>IF($A1=1,IF(SUM(E19:E29)=0,"",1-E34-E33-E32-E31-E30),"")</f>
      </c>
      <c r="F36" s="133">
        <f>IF($A1=1,IF(SUM(F19:F29)=0,"",1-F34-F33-F32-F31-F30),"")</f>
      </c>
      <c r="G36" s="133">
        <f>IF($A1=1,IF(SUM(G19:G29)=0,"",1-G34-G33-G32-G31-G30),"")</f>
      </c>
      <c r="H36" s="134">
        <f>IF($A1=1,IF(SUM(H19:H29)=0,"",1-H34-H33-H32-H31-H30),"")</f>
      </c>
    </row>
    <row r="37" spans="1:8" ht="15.75">
      <c r="A37" s="34"/>
      <c r="B37" s="101" t="str">
        <f>'Liquid fuels'!B35</f>
        <v>Stoichiometrisch verbranding</v>
      </c>
      <c r="C37" s="106"/>
      <c r="D37" s="127"/>
      <c r="E37" s="127"/>
      <c r="F37" s="127"/>
      <c r="G37" s="127"/>
      <c r="H37" s="135"/>
    </row>
    <row r="38" spans="1:8" ht="15.75">
      <c r="A38" s="34"/>
      <c r="B38" s="101" t="str">
        <f>'Liquid fuels'!B36</f>
        <v>Zuurstofverbruik</v>
      </c>
      <c r="C38" s="106" t="str">
        <f>'Liquid fuels'!C36</f>
        <v>mol/kg</v>
      </c>
      <c r="D38" s="136">
        <f>IF(D36="","",(D30/12.011+D31/1.0079/4-D34/15.9994/2+D33/32.06)*1000*(1-D35))</f>
        <v>65.4140760894426</v>
      </c>
      <c r="E38" s="136">
        <f>IF(E36="","",(E30/12.011+E31/1.0079/4-E34/15.9994/2+E33/32.06)*1000*(1-E35))</f>
      </c>
      <c r="F38" s="136">
        <f>IF(F36="","",(F30/12.011+F31/1.0079/4-F34/15.9994/2+F33/32.06)*1000*(1-F35))</f>
      </c>
      <c r="G38" s="136">
        <f>IF(G36="","",(G30/12.011+G31/1.0079/4-G34/15.9994/2+G33/32.06)*1000*(1-G35))</f>
      </c>
      <c r="H38" s="137">
        <f>IF(H36="","",(H30/12.011+H31/1.0079/4-H34/15.9994/2+H33/32.06)*1000*(1-H35))</f>
      </c>
    </row>
    <row r="39" spans="1:8" ht="15.75">
      <c r="A39" s="34"/>
      <c r="B39" s="101" t="str">
        <f>'Liquid fuels'!B37</f>
        <v>Koolstofdioxide</v>
      </c>
      <c r="C39" s="106" t="str">
        <f>'Liquid fuels'!C37</f>
        <v>Nm3/kg</v>
      </c>
      <c r="D39" s="136">
        <f>IF(D36="","",(D30/12.011)*'Gaseous fuels'!$L$29*(1-D35))</f>
        <v>1.2547978363500125</v>
      </c>
      <c r="E39" s="136">
        <f>IF(E36="","",(E30/12.011)*'Gaseous fuels'!$L$29*(1-E35))</f>
      </c>
      <c r="F39" s="136">
        <f>IF(F36="","",(F30/12.011)*'Gaseous fuels'!$L$29*(1-F35))</f>
      </c>
      <c r="G39" s="136">
        <f>IF(G36="","",(G30/12.011)*'Gaseous fuels'!$L$29*(1-G35))</f>
      </c>
      <c r="H39" s="137">
        <f>IF(H36="","",(H30/12.011)*'Gaseous fuels'!$L$29*(1-H35))</f>
      </c>
    </row>
    <row r="40" spans="1:8" ht="15.75">
      <c r="A40" s="34"/>
      <c r="B40" s="101" t="str">
        <f>'Liquid fuels'!B38</f>
        <v>Waterdamp</v>
      </c>
      <c r="C40" s="106" t="str">
        <f>'Liquid fuels'!C38</f>
        <v>Nm3/kg</v>
      </c>
      <c r="D40" s="136">
        <f>IF(D36="","",((D31/1.0079/2*(1-D35))+(D35/'Gaseous fuels'!$K$24))*'Gaseous fuels'!$L$24)</f>
        <v>0.561394126732443</v>
      </c>
      <c r="E40" s="136">
        <f>IF(E36="","",((E31/1.0079/2*(1-E35))+(E35/'Gaseous fuels'!$K$24))*'Gaseous fuels'!$L$24)</f>
      </c>
      <c r="F40" s="136">
        <f>IF(F36="","",((F31/1.0079/2*(1-F35))+(F35/'Gaseous fuels'!$K$24))*'Gaseous fuels'!$L$24)</f>
      </c>
      <c r="G40" s="136">
        <f>IF(G36="","",((G31/1.0079/2*(1-G35))+(G35/'Gaseous fuels'!$K$24))*'Gaseous fuels'!$L$24)</f>
      </c>
      <c r="H40" s="137">
        <f>IF(H36="","",((H31/1.0079/2*(1-H35))+(H35/'Gaseous fuels'!$K$24))*'Gaseous fuels'!$L$24)</f>
      </c>
    </row>
    <row r="41" spans="1:8" ht="15.75">
      <c r="A41" s="34"/>
      <c r="B41" s="101" t="str">
        <f>'Liquid fuels'!B39</f>
        <v>Brandstofstikstof</v>
      </c>
      <c r="C41" s="106" t="str">
        <f>'Liquid fuels'!C39</f>
        <v>Nm3/kg</v>
      </c>
      <c r="D41" s="136">
        <f>IF(D36="","",(D32/14.0067/2)*'Gaseous fuels'!$L$25*(1-D35))</f>
        <v>0.011012549315684636</v>
      </c>
      <c r="E41" s="136">
        <f>IF(E36="","",(E32/14.0067/2)*'Gaseous fuels'!$L$25*(1-E35))</f>
      </c>
      <c r="F41" s="136">
        <f>IF(F36="","",(F32/14.0067/2)*'Gaseous fuels'!$L$25*(1-F35))</f>
      </c>
      <c r="G41" s="136">
        <f>IF(G36="","",(G32/14.0067/2)*'Gaseous fuels'!$L$25*(1-G35))</f>
      </c>
      <c r="H41" s="137">
        <f>IF(H36="","",(H32/14.0067/2)*'Gaseous fuels'!$L$25*(1-H35))</f>
      </c>
    </row>
    <row r="42" spans="1:8" ht="15.75">
      <c r="A42" s="34"/>
      <c r="B42" s="101" t="str">
        <f>'Liquid fuels'!B40</f>
        <v>Zwaveldioxide</v>
      </c>
      <c r="C42" s="106" t="str">
        <f>'Liquid fuels'!C40</f>
        <v>Nm3/kg</v>
      </c>
      <c r="D42" s="136">
        <f>IF(D36="","",(D33/32.06)*22.4*(1-D35))</f>
        <v>0.006413973799126637</v>
      </c>
      <c r="E42" s="136">
        <f>IF(E36="","",(E33/32.06)*22.4*(1-E35))</f>
      </c>
      <c r="F42" s="136">
        <f>IF(F36="","",(F33/32.06)*22.4*(1-F35))</f>
      </c>
      <c r="G42" s="136">
        <f>IF(G36="","",(G33/32.06)*22.4*(1-G35))</f>
      </c>
      <c r="H42" s="137">
        <f>IF(H36="","",(H33/32.06)*22.4*(1-H35))</f>
      </c>
    </row>
    <row r="43" spans="1:8" ht="15.75">
      <c r="A43" s="34"/>
      <c r="B43" s="101" t="str">
        <f>'Liquid fuels'!B41</f>
        <v>Droog luchtverbruik</v>
      </c>
      <c r="C43" s="106" t="str">
        <f>'Liquid fuels'!C41</f>
        <v>Nm3/kg</v>
      </c>
      <c r="D43" s="127">
        <f>IF(D36="","",D38/0.2095*22.4003/1000)</f>
        <v>6.994247869338144</v>
      </c>
      <c r="E43" s="127">
        <f>IF(E36="","",E38/0.2095*22.4003/1000)</f>
      </c>
      <c r="F43" s="127">
        <f>IF(F36="","",F38/0.2095*22.4003/1000)</f>
      </c>
      <c r="G43" s="127">
        <f>IF(G36="","",G38/0.2095*22.4003/1000)</f>
      </c>
      <c r="H43" s="135">
        <f>IF(H36="","",H38/0.2095*22.4003/1000)</f>
      </c>
    </row>
    <row r="44" spans="1:8" ht="15.75">
      <c r="A44" s="34"/>
      <c r="B44" s="101" t="str">
        <f>'Liquid fuels'!B42</f>
        <v>Rookgasdebiet (droog)</v>
      </c>
      <c r="C44" s="106" t="str">
        <f>'Liquid fuels'!C42</f>
        <v>Nm3/kg</v>
      </c>
      <c r="D44" s="127">
        <f>IF(D36="","",D43*(1-0.2095)+D39+D41+D42)</f>
        <v>6.801177300176627</v>
      </c>
      <c r="E44" s="127">
        <f>IF(E36="","",E43*(1-0.2095)+E39+E41+E42)</f>
      </c>
      <c r="F44" s="127">
        <f>IF(F36="","",F43*(1-0.2095)+F39+F41+F42)</f>
      </c>
      <c r="G44" s="127">
        <f>IF(G36="","",G43*(1-0.2095)+G39+G41+G42)</f>
      </c>
      <c r="H44" s="135">
        <f>IF(H36="","",H43*(1-0.2095)+H39+H41+H42)</f>
      </c>
    </row>
    <row r="45" spans="1:8" ht="15.75">
      <c r="A45" s="34"/>
      <c r="B45" s="103" t="str">
        <f>'Liquid fuels'!B43</f>
        <v>Rookgasdebiet (nat)</v>
      </c>
      <c r="C45" s="128" t="str">
        <f>'Liquid fuels'!C43</f>
        <v>Nm3/kg</v>
      </c>
      <c r="D45" s="150">
        <f>IF(D36="","",D44+D40)</f>
        <v>7.36257142690907</v>
      </c>
      <c r="E45" s="150">
        <f>IF(E36="","",E44+E40)</f>
      </c>
      <c r="F45" s="150">
        <f>IF(F36="","",F44+F40)</f>
      </c>
      <c r="G45" s="150">
        <f>IF(G36="","",G44+G40)</f>
      </c>
      <c r="H45" s="151">
        <f>IF(H36="","",H44+H40)</f>
      </c>
    </row>
    <row r="46" spans="1:8" ht="15.75">
      <c r="A46" s="34"/>
      <c r="B46" s="101" t="str">
        <f>'Liquid fuels'!B44</f>
        <v>DIN1942</v>
      </c>
      <c r="C46" s="106"/>
      <c r="D46" s="127"/>
      <c r="E46" s="127"/>
      <c r="F46" s="127"/>
      <c r="G46" s="127"/>
      <c r="H46" s="135"/>
    </row>
    <row r="47" spans="1:8" ht="15.75">
      <c r="A47" s="34"/>
      <c r="B47" s="101" t="str">
        <f>'Liquid fuels'!B45</f>
        <v>Koolstofdioxide</v>
      </c>
      <c r="C47" s="106" t="str">
        <f>'Liquid fuels'!C45</f>
        <v>Nm3/kg</v>
      </c>
      <c r="D47" s="127">
        <f>IF(D5="","",0.1016+0.044*D5)</f>
        <v>1.2398799999999999</v>
      </c>
      <c r="E47" s="127">
        <f>IF(E5="","",0.1016+0.044*E5)</f>
        <v>0.5416</v>
      </c>
      <c r="F47" s="127">
        <f>IF(F5="","",0.1016+0.044*F5)</f>
        <v>0.7615999999999999</v>
      </c>
      <c r="G47" s="127">
        <f>IF(G5="","",0.1016+0.044*G5)</f>
        <v>0.9815999999999999</v>
      </c>
      <c r="H47" s="135">
        <f>IF(H5="","",0.1016+0.044*H5)</f>
        <v>1.2015999999999998</v>
      </c>
    </row>
    <row r="48" spans="1:8" ht="15.75">
      <c r="A48" s="34"/>
      <c r="B48" s="101" t="str">
        <f>'Liquid fuels'!B46</f>
        <v>Waterdamp</v>
      </c>
      <c r="C48" s="106" t="str">
        <f>'Liquid fuels'!C46</f>
        <v>Nm3/kg</v>
      </c>
      <c r="D48" s="127">
        <f>IF(D5="","",1.096-0.0166*D5)</f>
        <v>0.666558</v>
      </c>
      <c r="E48" s="127">
        <f>IF(E5="","",1.096-0.0166*E5)</f>
        <v>0.93</v>
      </c>
      <c r="F48" s="127">
        <f>IF(F5="","",1.096-0.0166*F5)</f>
        <v>0.8470000000000001</v>
      </c>
      <c r="G48" s="127">
        <f>IF(G5="","",1.096-0.0166*G5)</f>
        <v>0.764</v>
      </c>
      <c r="H48" s="135">
        <f>IF(H5="","",1.096-0.0166*H5)</f>
        <v>0.681</v>
      </c>
    </row>
    <row r="49" spans="1:8" ht="15.75">
      <c r="A49" s="34"/>
      <c r="B49" s="101" t="str">
        <f>'Liquid fuels'!B47</f>
        <v>Brandstofstikstof</v>
      </c>
      <c r="C49" s="106" t="str">
        <f>'Liquid fuels'!C47</f>
        <v>Nm3/kg</v>
      </c>
      <c r="D49" s="127">
        <f>IF(D5="","",0)</f>
        <v>0</v>
      </c>
      <c r="E49" s="127">
        <f>IF(E5="","",0)</f>
        <v>0</v>
      </c>
      <c r="F49" s="127">
        <f>IF(F5="","",0)</f>
        <v>0</v>
      </c>
      <c r="G49" s="127">
        <f>IF(G5="","",0)</f>
        <v>0</v>
      </c>
      <c r="H49" s="135">
        <f>IF(H5="","",0)</f>
        <v>0</v>
      </c>
    </row>
    <row r="50" spans="1:8" ht="15.75">
      <c r="A50" s="34"/>
      <c r="B50" s="101" t="str">
        <f>'Liquid fuels'!B48</f>
        <v>Zwaveldioxide</v>
      </c>
      <c r="C50" s="106" t="str">
        <f>'Liquid fuels'!C48</f>
        <v>Nm3/kg</v>
      </c>
      <c r="D50" s="127">
        <f>IF(D5="","",IF(D42="",0,D42))</f>
        <v>0.006413973799126637</v>
      </c>
      <c r="E50" s="127">
        <f>IF(E5="","",IF(E42="",0,E42))</f>
        <v>0</v>
      </c>
      <c r="F50" s="127">
        <f>IF(F5="","",IF(F42="",0,F42))</f>
        <v>0</v>
      </c>
      <c r="G50" s="127">
        <f>IF(G5="","",IF(G42="",0,G42))</f>
        <v>0</v>
      </c>
      <c r="H50" s="135">
        <f>IF(H5="","",IF(H42="",0,H42))</f>
        <v>0</v>
      </c>
    </row>
    <row r="51" spans="1:8" ht="15.75">
      <c r="A51" s="34"/>
      <c r="B51" s="101" t="str">
        <f>'Liquid fuels'!B49</f>
        <v>Droog luchtverbruik</v>
      </c>
      <c r="C51" s="106" t="str">
        <f>'Liquid fuels'!C49</f>
        <v>Nm3/kg</v>
      </c>
      <c r="D51" s="127">
        <f>IF(D5="","",0.4408+0.2462*D5)</f>
        <v>6.8099940000000005</v>
      </c>
      <c r="E51" s="127">
        <f>IF(E5="","",0.4408+0.2462*E5)</f>
        <v>2.9028</v>
      </c>
      <c r="F51" s="127">
        <f>IF(F5="","",0.4408+0.2462*F5)</f>
        <v>4.1338</v>
      </c>
      <c r="G51" s="127">
        <f>IF(G5="","",0.4408+0.2462*G5)</f>
        <v>5.364800000000001</v>
      </c>
      <c r="H51" s="135">
        <f>IF(H5="","",0.4408+0.2462*H5)</f>
        <v>6.5958000000000006</v>
      </c>
    </row>
    <row r="52" spans="1:8" ht="15.75">
      <c r="A52" s="34"/>
      <c r="B52" s="101" t="str">
        <f>'Liquid fuels'!B50</f>
        <v>Rookgasdebiet (droog)</v>
      </c>
      <c r="C52" s="106" t="str">
        <f>'Liquid fuels'!C50</f>
        <v>Nm3/kg</v>
      </c>
      <c r="D52" s="127">
        <f>IF(D5="","",0.45+0.2386*D5)</f>
        <v>6.622582</v>
      </c>
      <c r="E52" s="127">
        <f>IF(E5="","",0.45+0.2386*E5)</f>
        <v>2.8360000000000003</v>
      </c>
      <c r="F52" s="127">
        <f>IF(F5="","",0.45+0.2386*F5)</f>
        <v>4.029</v>
      </c>
      <c r="G52" s="127">
        <f>IF(G5="","",0.45+0.2386*G5)</f>
        <v>5.222</v>
      </c>
      <c r="H52" s="135">
        <f>IF(H5="","",0.45+0.2386*H5)</f>
        <v>6.415</v>
      </c>
    </row>
    <row r="53" spans="1:8" ht="15.75">
      <c r="A53" s="34"/>
      <c r="B53" s="103" t="str">
        <f>'Liquid fuels'!B51</f>
        <v>Rookgasdebiet (nat)</v>
      </c>
      <c r="C53" s="128" t="str">
        <f>'Liquid fuels'!C51</f>
        <v>Nm3/kg</v>
      </c>
      <c r="D53" s="150">
        <f>IF(D5="","",1.5456+0.222*D5)</f>
        <v>7.288740000000001</v>
      </c>
      <c r="E53" s="150">
        <f>IF(E5="","",1.5456+0.222*E5)</f>
        <v>3.7656</v>
      </c>
      <c r="F53" s="150">
        <f>IF(F5="","",1.5456+0.222*F5)</f>
        <v>4.8756</v>
      </c>
      <c r="G53" s="150">
        <f>IF(G5="","",1.5456+0.222*G5)</f>
        <v>5.985600000000001</v>
      </c>
      <c r="H53" s="151">
        <f>IF(H5="","",1.5456+0.222*H5)</f>
        <v>7.0956</v>
      </c>
    </row>
    <row r="54" ht="12">
      <c r="C54" s="31"/>
    </row>
    <row r="55" ht="12" hidden="1">
      <c r="C55" s="31"/>
    </row>
    <row r="56" ht="12" hidden="1">
      <c r="C56" s="31"/>
    </row>
    <row r="57" ht="12" hidden="1">
      <c r="C57" s="31"/>
    </row>
    <row r="58" ht="12" hidden="1">
      <c r="C58" s="31"/>
    </row>
    <row r="59" ht="12" hidden="1">
      <c r="C59" s="31"/>
    </row>
    <row r="60" ht="12" hidden="1">
      <c r="C60" s="31"/>
    </row>
    <row r="61" ht="12" hidden="1">
      <c r="C61" s="31"/>
    </row>
    <row r="62" ht="12" hidden="1">
      <c r="C62" s="31"/>
    </row>
    <row r="63" ht="12" hidden="1">
      <c r="C63" s="31"/>
    </row>
    <row r="64" ht="12" hidden="1">
      <c r="C64" s="31"/>
    </row>
    <row r="65" ht="12" hidden="1">
      <c r="C65" s="31"/>
    </row>
    <row r="66" ht="12" hidden="1">
      <c r="C66" s="31"/>
    </row>
    <row r="67" ht="12" hidden="1">
      <c r="C67" s="31"/>
    </row>
    <row r="68" ht="12" hidden="1">
      <c r="C68" s="31"/>
    </row>
    <row r="69" ht="12" hidden="1">
      <c r="C69" s="31"/>
    </row>
    <row r="70" ht="12" hidden="1">
      <c r="C70" s="31"/>
    </row>
    <row r="71" ht="12" hidden="1">
      <c r="C71" s="31"/>
    </row>
    <row r="72" ht="12" hidden="1">
      <c r="C72" s="31"/>
    </row>
    <row r="73" ht="12" hidden="1">
      <c r="C73" s="31"/>
    </row>
    <row r="74" ht="12" hidden="1">
      <c r="C74" s="31"/>
    </row>
    <row r="75" ht="12" hidden="1">
      <c r="C75" s="31"/>
    </row>
    <row r="76" ht="12" hidden="1">
      <c r="C76" s="31"/>
    </row>
    <row r="77" ht="12" hidden="1">
      <c r="C77" s="31"/>
    </row>
    <row r="78" ht="12" hidden="1">
      <c r="C78" s="31"/>
    </row>
    <row r="79" ht="12" hidden="1">
      <c r="C79" s="31"/>
    </row>
    <row r="80" ht="12" hidden="1">
      <c r="C80" s="31"/>
    </row>
    <row r="81" ht="12" hidden="1">
      <c r="C81" s="31"/>
    </row>
    <row r="82" ht="12" hidden="1">
      <c r="C82" s="31"/>
    </row>
    <row r="83" ht="12" hidden="1">
      <c r="C83" s="31"/>
    </row>
    <row r="84" ht="12" hidden="1">
      <c r="C84" s="31"/>
    </row>
    <row r="85" ht="12" hidden="1">
      <c r="C85" s="31"/>
    </row>
    <row r="86" ht="12" hidden="1">
      <c r="C86" s="31"/>
    </row>
    <row r="87" ht="12" hidden="1">
      <c r="C87" s="31"/>
    </row>
    <row r="88" ht="12" hidden="1">
      <c r="C88" s="31"/>
    </row>
    <row r="89" ht="12" hidden="1">
      <c r="C89" s="31"/>
    </row>
    <row r="90" ht="12" hidden="1">
      <c r="C90" s="31"/>
    </row>
    <row r="91" ht="12" hidden="1">
      <c r="C91" s="31"/>
    </row>
    <row r="92" ht="12" hidden="1">
      <c r="C92" s="31"/>
    </row>
    <row r="93" ht="12" hidden="1">
      <c r="C93" s="31"/>
    </row>
    <row r="94" ht="12" hidden="1">
      <c r="C94" s="31"/>
    </row>
    <row r="95" ht="12" hidden="1">
      <c r="C95" s="31"/>
    </row>
    <row r="96" ht="12" hidden="1">
      <c r="C96" s="31"/>
    </row>
    <row r="97" ht="12" hidden="1">
      <c r="C97" s="31"/>
    </row>
    <row r="98" ht="12" hidden="1">
      <c r="C98" s="31"/>
    </row>
    <row r="99" ht="12" hidden="1"/>
    <row r="100" ht="12" hidden="1"/>
  </sheetData>
  <sheetProtection password="8F37" sheet="1" objects="1" scenarios="1"/>
  <printOptions/>
  <pageMargins left="0.75" right="0.75" top="1" bottom="1" header="0.5" footer="0.5"/>
  <pageSetup fitToHeight="1" fitToWidth="1" horizontalDpi="300" verticalDpi="300" orientation="portrait" paperSize="9" scale="9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F18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2.25390625" style="19" customWidth="1"/>
    <col min="2" max="2" width="62.125" style="19" customWidth="1"/>
    <col min="3" max="3" width="10.625" style="19" customWidth="1"/>
    <col min="4" max="4" width="11.375" style="19" customWidth="1"/>
    <col min="5" max="5" width="37.875" style="19" customWidth="1"/>
    <col min="6" max="6" width="2.625" style="19" customWidth="1"/>
    <col min="7" max="10" width="10.625" style="19" hidden="1" customWidth="1"/>
    <col min="11" max="16384" width="0" style="19" hidden="1" customWidth="1"/>
  </cols>
  <sheetData>
    <row r="1" spans="1:6" ht="27" customHeight="1" thickBot="1">
      <c r="A1" s="16">
        <f ca="1">IF(NOW()&gt;Data!B2,0,1)</f>
        <v>1</v>
      </c>
      <c r="B1" s="17"/>
      <c r="C1" s="18"/>
      <c r="D1" s="17"/>
      <c r="E1" s="17"/>
      <c r="F1" s="17"/>
    </row>
    <row r="2" spans="2:5" ht="30.75" customHeight="1">
      <c r="B2" s="163" t="str">
        <f>'Emission data'!B2</f>
        <v>Installatie/eenheid</v>
      </c>
      <c r="C2" s="318" t="str">
        <f>IF($A1=1,CONCATENATE(INDEX(Data!F5:F12,'Emission data'!E3),IF('Emission data'!E2="","",CONCATENATE(" : ",'Emission data'!E2))),"")</f>
        <v>KETEL</v>
      </c>
      <c r="D2" s="318"/>
      <c r="E2" s="319"/>
    </row>
    <row r="3" spans="2:5" ht="19.5" customHeight="1">
      <c r="B3" s="61" t="str">
        <f>'Emission data'!B6</f>
        <v>Elektrisch rendement</v>
      </c>
      <c r="C3" s="94" t="str">
        <f>IF($A1=1,IF('Emission data'!E6=0,"--",'Emission data'!E6/100),"")</f>
        <v>--</v>
      </c>
      <c r="D3" s="63"/>
      <c r="E3" s="95">
        <f>IF(A1=1,IF('Emission data'!E6=0,"",IF(OR(INDEX(Data!G5:G12,'Emission data'!E3)&gt;100*'Validation test'!C3,INDEX(Data!H5:H12,'Emission data'!E3)&lt;100*'Validation test'!C3),language!A7,"")),"")</f>
      </c>
    </row>
    <row r="4" spans="2:5" ht="19.5" customHeight="1">
      <c r="B4" s="164" t="str">
        <f>Data!A43</f>
        <v>Gerapporteerde stoomproductie</v>
      </c>
      <c r="C4" s="165"/>
      <c r="D4" s="165"/>
      <c r="E4" s="166">
        <f>IF(Data!C47&gt;0,language!A7,IF(Data!C47=0,language!A8,""))</f>
      </c>
    </row>
    <row r="5" spans="2:5" ht="19.5" customHeight="1">
      <c r="B5" s="61" t="str">
        <f>'Emission data'!B4</f>
        <v>Bedrijfsvoering</v>
      </c>
      <c r="C5" s="96">
        <f>'Emission data'!F4</f>
        <v>8760</v>
      </c>
      <c r="D5" s="63" t="str">
        <f>IF(C5="","",language!A67)</f>
        <v>uur/jaar</v>
      </c>
      <c r="E5" s="95">
        <f>IF(AND($A1=1,C5&lt;&gt;""),IF(OR(C5&gt;8760,C5&lt;0),language!A7,""),"")</f>
      </c>
    </row>
    <row r="6" spans="2:5" ht="19.5" customHeight="1">
      <c r="B6" s="164" t="str">
        <f>Data!A49</f>
        <v>Gerapporteerde bedrijfstijd</v>
      </c>
      <c r="C6" s="165"/>
      <c r="D6" s="165"/>
      <c r="E6" s="166">
        <f>IF(Data!C53&gt;0,language!A7,IF(Data!C53=0,language!A8,""))</f>
      </c>
    </row>
    <row r="7" spans="2:5" ht="19.5" customHeight="1">
      <c r="B7" s="254" t="str">
        <f>language!A136</f>
        <v>Gemiddelde belasting</v>
      </c>
      <c r="C7" s="280">
        <f>IF($A1=1,IF('Emission data'!M23="","",'Emission data'!M23/100),"")</f>
        <v>0</v>
      </c>
      <c r="D7" s="281"/>
      <c r="E7" s="282" t="str">
        <f>IF($A1=1,IF(C7="","",IF(OR(C7&gt;Data!C115,C7&lt;Data!B115),language!A7,"")),"")</f>
        <v>Afwijkend van verwachtingswaarde</v>
      </c>
    </row>
    <row r="8" spans="2:5" ht="19.5" customHeight="1">
      <c r="B8" s="164" t="str">
        <f>CONCATENATE(language!A135," ",language!A39,"-",LOWER(language!A56),language!A141)</f>
        <v>Gerapporteerde CO2-emissie in % van de theoretische waarde</v>
      </c>
      <c r="C8" s="179">
        <f>IF(OR('Emission data'!M21=0,'Emission data'!M21=""),"",'Emission data'!J35/'Emission data'!M21)</f>
      </c>
      <c r="D8" s="165"/>
      <c r="E8" s="168">
        <f>IF($A$1=1,IF(C8="","",IF(OR(C8&gt;Data!C117,C8&lt;Data!B117),language!$A$7,language!$A$8)),"")</f>
      </c>
    </row>
    <row r="9" spans="2:5" ht="19.5" customHeight="1">
      <c r="B9" s="61" t="str">
        <f>CONCATENATE(language!$A$138," ",language!A40,"-",language!$A$139)</f>
        <v>Emissie-eis NOx-concentratie</v>
      </c>
      <c r="C9" s="63"/>
      <c r="D9" s="63"/>
      <c r="E9" s="97">
        <f>IF(Data!C62=0,language!A8,IF(Data!C62=1,language!A7,IF(Data!C62=2,language!A7,"")))</f>
      </c>
    </row>
    <row r="10" spans="2:5" ht="19.5" customHeight="1">
      <c r="B10" s="164" t="str">
        <f>CONCATENATE(language!$A$135," ",language!A40,"-",language!$A$139)</f>
        <v>Gerapporteerde NOx-concentratie</v>
      </c>
      <c r="C10" s="165"/>
      <c r="D10" s="165"/>
      <c r="E10" s="237">
        <f>IF(Data!C71=0,language!A8,IF(Data!C71=1,language!A7,IF(Data!C71=2,language!A7,"")))</f>
      </c>
    </row>
    <row r="11" spans="2:5" ht="19.5" customHeight="1">
      <c r="B11" s="61" t="str">
        <f>CONCATENATE(language!$A$138," ",language!A38,"-",language!$A$139)</f>
        <v>Emissie-eis SO2-concentratie</v>
      </c>
      <c r="C11" s="63"/>
      <c r="D11" s="63"/>
      <c r="E11" s="97">
        <f>IF(Data!C101=0,language!A8,IF(Data!C101=1,language!A7,IF(Data!C101=2,language!A7,"")))</f>
      </c>
    </row>
    <row r="12" spans="2:5" ht="19.5" customHeight="1">
      <c r="B12" s="61" t="str">
        <f>CONCATENATE(language!$A$135," ",language!A38,"-",language!$A$139)</f>
        <v>Gerapporteerde SO2-concentratie</v>
      </c>
      <c r="C12" s="63"/>
      <c r="D12" s="63"/>
      <c r="E12" s="97">
        <f>IF(Data!C107=0,language!A8,IF(Data!C107=1,language!A7,IF(Data!C107=2,language!A7,"")))</f>
      </c>
    </row>
    <row r="13" spans="2:5" ht="19.5" customHeight="1">
      <c r="B13" s="164" t="str">
        <f>CONCATENATE(language!A135," ",language!A38,"-",LOWER(language!A56),language!A141)</f>
        <v>Gerapporteerde SO2-emissie in % van de theoretische waarde</v>
      </c>
      <c r="C13" s="167">
        <f>IF('Emission data'!M24=0,"",'Emission data'!J32/('Emission data'!M24*1000))</f>
      </c>
      <c r="D13" s="165"/>
      <c r="E13" s="168">
        <f>IF($A$1=1,IF(C13="","",IF(OR(C13&gt;Data!C119,C13&lt;Data!B119),language!$A$7,"")),"")</f>
      </c>
    </row>
    <row r="14" spans="2:5" ht="19.5" customHeight="1">
      <c r="B14" s="61" t="str">
        <f>CONCATENATE(language!A138," ",Data!A80,"-",language!A139)</f>
        <v>Emissie-eis STOF-concentratie</v>
      </c>
      <c r="C14" s="63"/>
      <c r="D14" s="63"/>
      <c r="E14" s="97">
        <f>IF(Data!C83=0,language!A8,IF(Data!C83=1,language!A7,IF(Data!C83=2,language!A7,"")))</f>
      </c>
    </row>
    <row r="15" spans="2:5" ht="19.5" customHeight="1">
      <c r="B15" s="61" t="str">
        <f>CONCATENATE(language!A135," ",Data!A80,"-",language!A139)</f>
        <v>Gerapporteerde STOF-concentratie</v>
      </c>
      <c r="C15" s="63"/>
      <c r="D15" s="63"/>
      <c r="E15" s="97">
        <f>IF(Data!C89=0,language!A8,IF(Data!C89=1,language!A7,IF(Data!C89=2,language!A7,"")))</f>
      </c>
    </row>
    <row r="16" spans="2:5" ht="19.5" customHeight="1">
      <c r="B16" s="164" t="str">
        <f>CONCATENATE(language!A135," ",Data!A92)</f>
        <v>Gerapporteerde STOF-emissie</v>
      </c>
      <c r="C16" s="165"/>
      <c r="D16" s="165"/>
      <c r="E16" s="166">
        <f>IF(Data!C95=0,language!A8,IF(Data!C95&gt;0,language!A7,""))</f>
      </c>
    </row>
    <row r="17" spans="2:5" ht="19.5" customHeight="1">
      <c r="B17" s="254" t="str">
        <f>CONCATENATE(language!A219," ",LOWER(language!A54))</f>
        <v>Temperatuur rookgas</v>
      </c>
      <c r="C17" s="201">
        <f>IF('Emission data'!E37="","",'Emission data'!E37)</f>
      </c>
      <c r="D17" s="63">
        <f>IF(ISNUMBER(C17),"°C","")</f>
      </c>
      <c r="E17" s="95">
        <f>IF(AND(C17&lt;&gt;"",'Emission data'!K36&lt;&gt;"",'Emission data'!E37&lt;'Emission data'!K36),language!A7,"")</f>
      </c>
    </row>
    <row r="18" spans="2:5" ht="19.5" customHeight="1" thickBot="1">
      <c r="B18" s="67" t="str">
        <f>language!A221</f>
        <v>Dwarsdoorsnede afgaskanaal</v>
      </c>
      <c r="C18" s="68"/>
      <c r="D18" s="68"/>
      <c r="E18" s="98">
        <f>IF(Data!C125=0,language!A8,IF(Data!C125&gt;0,language!A7,""))</f>
      </c>
    </row>
    <row r="19" ht="12" customHeight="1"/>
    <row r="20" ht="19.5" customHeight="1" hidden="1"/>
    <row r="21" ht="19.5" customHeight="1" hidden="1"/>
    <row r="22" ht="19.5" customHeight="1" hidden="1"/>
    <row r="23" ht="19.5" customHeight="1" hidden="1"/>
    <row r="24" ht="19.5" customHeight="1" hidden="1"/>
    <row r="25" ht="19.5" customHeight="1" hidden="1"/>
    <row r="26" ht="19.5" customHeight="1" hidden="1"/>
  </sheetData>
  <sheetProtection password="8F37" sheet="1" objects="1" scenarios="1"/>
  <mergeCells count="1">
    <mergeCell ref="C2:E2"/>
  </mergeCells>
  <printOptions/>
  <pageMargins left="0.75" right="0.75" top="1" bottom="1" header="0.5" footer="0.5"/>
  <pageSetup fitToHeight="1" fitToWidth="1" horizontalDpi="600" verticalDpi="600" orientation="portrait" paperSize="9" scale="6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Q125"/>
  <sheetViews>
    <sheetView zoomScalePageLayoutView="0" workbookViewId="0" topLeftCell="A1">
      <selection activeCell="B110" sqref="B110"/>
    </sheetView>
  </sheetViews>
  <sheetFormatPr defaultColWidth="9.00390625" defaultRowHeight="12.75"/>
  <cols>
    <col min="1" max="1" width="28.50390625" style="2" bestFit="1" customWidth="1"/>
    <col min="2" max="2" width="34.00390625" style="2" bestFit="1" customWidth="1"/>
    <col min="3" max="3" width="8.75390625" style="2" bestFit="1" customWidth="1"/>
    <col min="4" max="4" width="18.625" style="2" customWidth="1"/>
    <col min="5" max="5" width="16.25390625" style="2" bestFit="1" customWidth="1"/>
    <col min="6" max="6" width="18.625" style="2" customWidth="1"/>
    <col min="7" max="12" width="9.00390625" style="2" customWidth="1"/>
    <col min="13" max="13" width="13.50390625" style="1" bestFit="1" customWidth="1"/>
    <col min="14" max="16384" width="9.00390625" style="1" customWidth="1"/>
  </cols>
  <sheetData>
    <row r="1" spans="1:2" ht="12">
      <c r="A1" s="255" t="s">
        <v>1021</v>
      </c>
      <c r="B1" s="256" t="s">
        <v>1066</v>
      </c>
    </row>
    <row r="2" spans="1:2" ht="12">
      <c r="A2" s="255" t="str">
        <f>language!A97</f>
        <v>Geldigheid</v>
      </c>
      <c r="B2" s="257">
        <v>43922</v>
      </c>
    </row>
    <row r="3" spans="1:3" ht="12">
      <c r="A3" s="255" t="s">
        <v>1057</v>
      </c>
      <c r="B3" s="258">
        <f ca="1">IF(NOW()&gt;Data!B2,0,1)</f>
        <v>1</v>
      </c>
      <c r="C3" s="1"/>
    </row>
    <row r="4" spans="1:13" ht="12">
      <c r="A4" s="255" t="s">
        <v>1058</v>
      </c>
      <c r="B4" s="181">
        <v>0</v>
      </c>
      <c r="C4" s="1"/>
      <c r="G4" s="2" t="str">
        <f>language!A111</f>
        <v>Min rendement</v>
      </c>
      <c r="H4" s="2" t="str">
        <f>language!A112</f>
        <v>Max rendement</v>
      </c>
      <c r="K4" s="181">
        <v>2</v>
      </c>
      <c r="M4" s="1" t="s">
        <v>1067</v>
      </c>
    </row>
    <row r="5" spans="1:13" ht="12">
      <c r="A5" s="2" t="str">
        <f>language!A26</f>
        <v>Bedrijfsvoering</v>
      </c>
      <c r="B5" s="2" t="str">
        <f>IF(OR(language!$A$99="",language!$A$100=""),"",CONCATENATE(IF('Emission data'!$H$4&lt;&gt;"",'Emission data'!H4,Data!C5)," ",UPPER(D5),IF('Emission data'!$H$4&lt;&gt;"","",CONCATENATE(" (7 ",LOWER(language!$A$99),"; 24 ",LOWER(language!$A$100),")"))))</f>
        <v>8760 UUR/JAAR (7 dagen/week; 24 uur/dag)</v>
      </c>
      <c r="C5" s="4">
        <f>TRUNC(8760)</f>
        <v>8760</v>
      </c>
      <c r="D5" s="2" t="str">
        <f>language!A67</f>
        <v>uur/jaar</v>
      </c>
      <c r="E5" s="2" t="str">
        <f>language!A102</f>
        <v>Installatie type</v>
      </c>
      <c r="F5" s="53" t="str">
        <f>language!A103</f>
        <v>KETEL</v>
      </c>
      <c r="G5" s="4">
        <v>0</v>
      </c>
      <c r="H5" s="4">
        <v>0</v>
      </c>
      <c r="J5" s="2" t="str">
        <f>language!A10</f>
        <v>Taal</v>
      </c>
      <c r="K5" s="2" t="str">
        <f>IF(language!A11="","",language!A11)</f>
        <v>ENGELS</v>
      </c>
      <c r="M5" s="1">
        <f>IF('Emission data'!M22=0,"",CONCATENATE(" ",language!A94," ",'Emission data'!G34,"% ",language!A37))</f>
      </c>
    </row>
    <row r="6" spans="2:11" ht="12">
      <c r="B6" s="2" t="str">
        <f>IF(OR(language!$A$99="",language!$A$100=""),"",CONCATENATE(IF('Emission data'!$H$4&lt;&gt;"",'Emission data'!$H$4,Data!C6)," ",UPPER(D6),IF('Emission data'!$H$4&lt;&gt;"","",CONCATENATE(" (7 ",LOWER(language!$A$99),"; 16 ",LOWER(language!$A$100),")"))))</f>
        <v>5840 UUR/JAAR (7 dagen/week; 16 uur/dag)</v>
      </c>
      <c r="C6" s="4">
        <f>TRUNC(C5*2/3)</f>
        <v>5840</v>
      </c>
      <c r="D6" s="2" t="str">
        <f>D5</f>
        <v>uur/jaar</v>
      </c>
      <c r="F6" s="53" t="str">
        <f>language!A104</f>
        <v>KETEL MET STOOMTURBINE</v>
      </c>
      <c r="G6" s="4">
        <v>38</v>
      </c>
      <c r="H6" s="4">
        <v>45</v>
      </c>
      <c r="K6" s="2" t="str">
        <f>IF(language!A12="","",language!A12)</f>
        <v>NEDERLANDS</v>
      </c>
    </row>
    <row r="7" spans="2:11" ht="12">
      <c r="B7" s="2" t="str">
        <f>IF(OR(language!$A$99="",language!$A$100=""),"",CONCATENATE(IF('Emission data'!$H$4&lt;&gt;"",'Emission data'!$H$4,Data!C7)," ",UPPER(D7),IF('Emission data'!$H$4&lt;&gt;"","",CONCATENATE(" (5 ",LOWER(language!$A$99),"; 16 ",LOWER(language!$A$100),")"))))</f>
        <v>4171 UUR/JAAR (5 dagen/week; 16 uur/dag)</v>
      </c>
      <c r="C7" s="4">
        <f>TRUNC(C6*5/7)</f>
        <v>4171</v>
      </c>
      <c r="D7" s="2" t="str">
        <f>D6</f>
        <v>uur/jaar</v>
      </c>
      <c r="F7" s="53" t="str">
        <f>language!A105</f>
        <v>PROCESFORNUIS</v>
      </c>
      <c r="G7" s="4">
        <v>0</v>
      </c>
      <c r="H7" s="4">
        <v>0</v>
      </c>
      <c r="K7" s="2" t="str">
        <f>IF(language!A13="","",language!A13)</f>
        <v>POOLS</v>
      </c>
    </row>
    <row r="8" spans="2:11" ht="12">
      <c r="B8" s="2" t="str">
        <f>IF(OR(language!$A$99="",language!$A$100=""),"",CONCATENATE(IF('Emission data'!$H$4&lt;&gt;"",'Emission data'!$H$4,Data!C8)," ",UPPER(D8),IF('Emission data'!$H$4&lt;&gt;"","",CONCATENATE(" (5 ",LOWER(language!$A$99),"; 8 ",LOWER(language!$A$100),")"))))</f>
        <v>2085 UUR/JAAR (5 dagen/week; 8 uur/dag)</v>
      </c>
      <c r="C8" s="4">
        <f>TRUNC(C7/2)</f>
        <v>2085</v>
      </c>
      <c r="D8" s="2" t="str">
        <f>D7</f>
        <v>uur/jaar</v>
      </c>
      <c r="F8" s="53" t="str">
        <f>language!A106</f>
        <v>GASTURBINE</v>
      </c>
      <c r="G8" s="4">
        <v>30</v>
      </c>
      <c r="H8" s="4">
        <v>40</v>
      </c>
      <c r="K8" s="2" t="str">
        <f>IF(language!A14="","",language!A14)</f>
        <v>TSJECHISCH</v>
      </c>
    </row>
    <row r="9" spans="2:11" ht="12">
      <c r="B9" s="2" t="str">
        <f>IF('Emission data'!H4&lt;&gt;"",CONCATENATE('Emission data'!H4," ",UPPER(language!A67)),CONCATENATE(UPPER(language!A101),IF(ISNUMBER(C9),CONCATENATE(" (",ROUND(C9,0)," ",UPPER(D9),")"),"")))</f>
        <v>STAND-BY</v>
      </c>
      <c r="C9" s="4">
        <f>IF(OR('Emission data'!M22=0,'Emission data'!E5=0),"",(IF('Emission data'!E22="",0,'Emission data'!E22)+IF('Emission data'!G22="",0,'Emission data'!G22)+IF('Emission data'!I22="",0,'Emission data'!I22)+IF('Emission data'!K22="",0,'Emission data'!K22))*1000000/3600/'Emission data'!E5)</f>
      </c>
      <c r="D9" s="2" t="str">
        <f>D8</f>
        <v>uur/jaar</v>
      </c>
      <c r="F9" s="53" t="str">
        <f>language!A107</f>
        <v>WKK GASTURBINE</v>
      </c>
      <c r="G9" s="4">
        <v>50</v>
      </c>
      <c r="H9" s="4">
        <v>60</v>
      </c>
      <c r="K9" s="2" t="str">
        <f>IF(language!A15="","",language!A15)</f>
        <v>BULGAARS</v>
      </c>
    </row>
    <row r="10" spans="3:11" ht="12">
      <c r="C10" s="4"/>
      <c r="F10" s="53" t="str">
        <f>language!A108</f>
        <v>ZUIGERMOTOR</v>
      </c>
      <c r="G10" s="4">
        <v>35</v>
      </c>
      <c r="H10" s="4">
        <v>45</v>
      </c>
      <c r="K10" s="2" t="str">
        <f>IF(language!A16="","",language!A16)</f>
        <v>KROATISCH</v>
      </c>
    </row>
    <row r="11" spans="3:11" ht="12">
      <c r="C11" s="4"/>
      <c r="F11" s="53" t="str">
        <f>language!A109</f>
        <v>WKK ZUIGERMOTOR</v>
      </c>
      <c r="G11" s="4">
        <v>35</v>
      </c>
      <c r="H11" s="4">
        <v>60</v>
      </c>
      <c r="K11" s="2" t="str">
        <f>IF(language!A17="","",language!A17)</f>
        <v>DUITS</v>
      </c>
    </row>
    <row r="12" spans="3:11" ht="12">
      <c r="C12" s="4"/>
      <c r="F12" s="53" t="str">
        <f>language!A110</f>
        <v>ANDERS</v>
      </c>
      <c r="G12" s="4">
        <v>0</v>
      </c>
      <c r="H12" s="4">
        <v>0</v>
      </c>
      <c r="K12" s="2" t="str">
        <f>IF(language!A18="","",language!A18)</f>
        <v>FRANS</v>
      </c>
    </row>
    <row r="13" ht="12">
      <c r="K13" s="2">
        <f>IF(language!A19="","",language!A19)</f>
      </c>
    </row>
    <row r="14" spans="1:17" ht="12">
      <c r="A14" s="2" t="str">
        <f>language!A113</f>
        <v>rij</v>
      </c>
      <c r="B14" s="3">
        <v>1</v>
      </c>
      <c r="C14" s="4">
        <v>3</v>
      </c>
      <c r="D14" s="3">
        <v>4</v>
      </c>
      <c r="E14" s="3">
        <v>7</v>
      </c>
      <c r="F14" s="3">
        <v>9</v>
      </c>
      <c r="G14" s="3">
        <v>16</v>
      </c>
      <c r="H14" s="2" t="s">
        <v>30</v>
      </c>
      <c r="I14" s="4" t="s">
        <v>31</v>
      </c>
      <c r="J14" s="4" t="s">
        <v>32</v>
      </c>
      <c r="L14" s="4">
        <v>13</v>
      </c>
      <c r="M14" s="3">
        <v>17</v>
      </c>
      <c r="N14" s="3">
        <v>14</v>
      </c>
      <c r="O14" s="3">
        <v>8</v>
      </c>
      <c r="P14" s="3">
        <v>10</v>
      </c>
      <c r="Q14" s="3">
        <v>12</v>
      </c>
    </row>
    <row r="15" spans="1:17" ht="12">
      <c r="A15" s="2" t="str">
        <f>language!A114</f>
        <v>kolom</v>
      </c>
      <c r="B15" s="2" t="str">
        <f>language!A115</f>
        <v>brandstoftype</v>
      </c>
      <c r="C15" s="2" t="str">
        <f>language!A117</f>
        <v>% fossiel</v>
      </c>
      <c r="D15" s="2" t="str">
        <f>language!A118</f>
        <v>Onderste verbrandingswaarde</v>
      </c>
      <c r="E15" s="2" t="str">
        <f>language!A119</f>
        <v>Berekeningsmethode</v>
      </c>
      <c r="F15" s="2" t="s">
        <v>20</v>
      </c>
      <c r="G15" s="2" t="str">
        <f>language!A120</f>
        <v>Stoichiometrisch rookgasvolume Rgv</v>
      </c>
      <c r="H15" s="2" t="str">
        <f>language!A121</f>
        <v>onzekerheid</v>
      </c>
      <c r="I15" s="2" t="str">
        <f>H15</f>
        <v>onzekerheid</v>
      </c>
      <c r="J15" s="2" t="str">
        <f>I15</f>
        <v>onzekerheid</v>
      </c>
      <c r="K15" s="2" t="str">
        <f>language!A122</f>
        <v>eenheid</v>
      </c>
      <c r="L15" s="2" t="s">
        <v>36</v>
      </c>
      <c r="M15" s="2" t="str">
        <f>CONCATENATE('Gaseous fuels'!B18," ",'Gaseous fuels'!B16)</f>
        <v>  nat Stoichiometrisch rookgasvolume</v>
      </c>
      <c r="N15" s="2" t="str">
        <f>'Gaseous fuels'!B15</f>
        <v>Stoichiometrisch luchtverbruik</v>
      </c>
      <c r="O15" s="2" t="str">
        <f>'Gaseous fuels'!B9</f>
        <v>Koolstofdioxide</v>
      </c>
      <c r="P15" s="2" t="str">
        <f>'Gaseous fuels'!B11</f>
        <v>Waterdamp</v>
      </c>
      <c r="Q15" s="2" t="s">
        <v>36</v>
      </c>
    </row>
    <row r="16" spans="1:17" ht="12">
      <c r="A16" s="3"/>
      <c r="B16" s="2" t="str">
        <f>language!A116</f>
        <v>GEEN</v>
      </c>
      <c r="E16" s="2" t="s">
        <v>24</v>
      </c>
      <c r="M16" s="2"/>
      <c r="N16" s="2"/>
      <c r="O16" s="2"/>
      <c r="P16" s="2"/>
      <c r="Q16" s="2"/>
    </row>
    <row r="17" spans="1:17" ht="12">
      <c r="A17" s="3">
        <v>1</v>
      </c>
      <c r="B17" s="2" t="str">
        <f>IF(INDEX('Gaseous fuels'!$D$2:$H$90,B$14,$A17)="","",INDEX('Gaseous fuels'!$D$2:$H$90,B$14,$A17))</f>
        <v>AARDGAS</v>
      </c>
      <c r="C17" s="2">
        <f>IF(INDEX('Gaseous fuels'!$D$2:$H$90,C$14,$A17)="","",INDEX('Gaseous fuels'!$D$2:$H$90,C$14,$A17))</f>
        <v>100</v>
      </c>
      <c r="D17" s="2">
        <f>IF(INDEX('Gaseous fuels'!$D$2:$H$90,D$14,$A17)="","",INDEX('Gaseous fuels'!$D$2:$H$90,D$14,$A17))</f>
        <v>31.668546173147696</v>
      </c>
      <c r="E17" s="2" t="str">
        <f>IF(INDEX('Gaseous fuels'!$D$2:$H$90,E$14,$A17)="","",INDEX('Gaseous fuels'!$D$2:$H$90,E$14,$A17))</f>
        <v>samenstelling</v>
      </c>
      <c r="F17" s="2">
        <f>IF(INDEX('Gaseous fuels'!$D$2:$H$90,F$14,$A17)="","",INDEX('Gaseous fuels'!$D$2:$H$90,F$14,$A17))</f>
        <v>56.02910531993935</v>
      </c>
      <c r="G17" s="2">
        <f>IF(INDEX('Gaseous fuels'!$D$2:$H$90,G$14,$A17)="","",INDEX('Gaseous fuels'!$D$2:$H$90,G$14,$A17))</f>
        <v>7.70330287502515</v>
      </c>
      <c r="H17" s="6">
        <f>IF(LEFT(E17,3)&lt;&gt;"",0.01,"")</f>
        <v>0.01</v>
      </c>
      <c r="I17" s="5">
        <f>IF(LEFT(E17,3)="sam",0.02,IF(E17="","",0.1))</f>
        <v>0.02</v>
      </c>
      <c r="J17" s="5">
        <f>IF(LEFT(E17,3)="sam",0.01,IF(E17="","",0.02))</f>
        <v>0.01</v>
      </c>
      <c r="K17" s="2" t="s">
        <v>34</v>
      </c>
      <c r="L17" s="2">
        <f>IF(INDEX('Gaseous fuels'!$D$2:$H$90,L$14,$A17)="","",INDEX('Gaseous fuels'!$D$2:$H$90,L$14,$A17))</f>
        <v>0</v>
      </c>
      <c r="M17" s="2">
        <f>IF(INDEX('Gaseous fuels'!$D$2:$H$90,M$14,$A17)="","",INDEX('Gaseous fuels'!$D$2:$H$90,M$14,$A17))</f>
        <v>9.386709315305522</v>
      </c>
      <c r="N17" s="2">
        <f>IF(INDEX('Gaseous fuels'!$D$2:$H$90,N$14,$A17)="","",INDEX('Gaseous fuels'!$D$2:$H$90,N$14,$A17))</f>
        <v>8.428759913873948</v>
      </c>
      <c r="O17" s="2">
        <f>IF(INDEX('Gaseous fuels'!$D$2:$H$90,O$14,$A17)="","",INDEX('Gaseous fuels'!$D$2:$H$90,O$14,$A17))</f>
        <v>0.8969047091110158</v>
      </c>
      <c r="P17" s="2">
        <f>IF(INDEX('Gaseous fuels'!$D$2:$H$90,P$14,$A17)="","",INDEX('Gaseous fuels'!$D$2:$H$90,P$14,$A17))</f>
        <v>1.6834064402803717</v>
      </c>
      <c r="Q17" s="261">
        <f>IF(INDEX('Gaseous fuels'!$D$2:$H$90,Q$14,$A17)="","",INDEX('Gaseous fuels'!$D$2:$H$90,Q$14,$A17))</f>
        <v>0</v>
      </c>
    </row>
    <row r="18" spans="1:17" ht="12">
      <c r="A18" s="3">
        <v>2</v>
      </c>
      <c r="B18" s="2" t="str">
        <f>IF(INDEX('Gaseous fuels'!$D$2:$H$90,B$14,$A18)="","",INDEX('Gaseous fuels'!$D$2:$H$90,B$14,$A18))</f>
        <v>HC Gas</v>
      </c>
      <c r="C18" s="2">
        <f>IF(INDEX('Gaseous fuels'!$D$2:$H$90,C$14,$A18)="","",INDEX('Gaseous fuels'!$D$2:$H$90,C$14,$A18))</f>
        <v>100</v>
      </c>
      <c r="D18" s="2">
        <f>IF(INDEX('Gaseous fuels'!$D$2:$H$90,D$14,$A18)="","",INDEX('Gaseous fuels'!$D$2:$H$90,D$14,$A18))</f>
        <v>36.27167028890894</v>
      </c>
      <c r="E18" s="2" t="str">
        <f>IF(INDEX('Gaseous fuels'!$D$2:$H$90,E$14,$A18)="","",INDEX('Gaseous fuels'!$D$2:$H$90,E$14,$A18))</f>
        <v>samenstelling</v>
      </c>
      <c r="F18" s="2">
        <f>IF(INDEX('Gaseous fuels'!$D$2:$H$90,F$14,$A18)="","",INDEX('Gaseous fuels'!$D$2:$H$90,F$14,$A18))</f>
        <v>56.74473321176498</v>
      </c>
      <c r="G18" s="2">
        <f>IF(INDEX('Gaseous fuels'!$D$2:$H$90,G$14,$A18)="","",INDEX('Gaseous fuels'!$D$2:$H$90,G$14,$A18))</f>
        <v>8.698378450702581</v>
      </c>
      <c r="H18" s="6">
        <f>IF(LEFT(E18,3)&lt;&gt;"",0.01,"")</f>
        <v>0.01</v>
      </c>
      <c r="I18" s="5">
        <f aca="true" t="shared" si="0" ref="I18:I31">IF(LEFT(E18,3)="sam",0.02,IF(E18="","",0.1))</f>
        <v>0.02</v>
      </c>
      <c r="J18" s="5">
        <f>IF(LEFT(E18,3)="sam",0.01,IF(E18="","",0.02))</f>
        <v>0.01</v>
      </c>
      <c r="K18" s="2" t="s">
        <v>34</v>
      </c>
      <c r="L18" s="2">
        <f>IF(INDEX('Gaseous fuels'!$D$2:$H$90,L$14,$A18)="","",INDEX('Gaseous fuels'!$D$2:$H$90,L$14,$A18))</f>
        <v>0</v>
      </c>
      <c r="M18" s="2">
        <f>IF(INDEX('Gaseous fuels'!$D$2:$H$90,M$14,$A18)="","",INDEX('Gaseous fuels'!$D$2:$H$90,M$14,$A18))</f>
        <v>10.611722016053383</v>
      </c>
      <c r="N18" s="2">
        <f>IF(INDEX('Gaseous fuels'!$D$2:$H$90,N$14,$A18)="","",INDEX('Gaseous fuels'!$D$2:$H$90,N$14,$A18))</f>
        <v>9.647947682313632</v>
      </c>
      <c r="O18" s="2">
        <f>IF(INDEX('Gaseous fuels'!$D$2:$H$90,O$14,$A18)="","",INDEX('Gaseous fuels'!$D$2:$H$90,O$14,$A18))</f>
        <v>1.0403934365117815</v>
      </c>
      <c r="P18" s="2">
        <f>IF(INDEX('Gaseous fuels'!$D$2:$H$90,P$14,$A18)="","",INDEX('Gaseous fuels'!$D$2:$H$90,P$14,$A18))</f>
        <v>1.9133435653508015</v>
      </c>
      <c r="Q18" s="261">
        <f>IF(INDEX('Gaseous fuels'!$D$2:$H$90,Q$14,$A18)="","",INDEX('Gaseous fuels'!$D$2:$H$90,Q$14,$A18))</f>
        <v>0</v>
      </c>
    </row>
    <row r="19" spans="1:17" ht="12">
      <c r="A19" s="3">
        <v>3</v>
      </c>
      <c r="B19" s="2" t="str">
        <f>IF(INDEX('Gaseous fuels'!$D$2:$H$90,B$14,$A19)="","",INDEX('Gaseous fuels'!$D$2:$H$90,B$14,$A19))</f>
        <v>GF1</v>
      </c>
      <c r="C19" s="2">
        <f>IF(INDEX('Gaseous fuels'!$D$2:$H$90,C$14,$A19)="","",INDEX('Gaseous fuels'!$D$2:$H$90,C$14,$A19))</f>
        <v>100</v>
      </c>
      <c r="D19" s="2">
        <f>IF(INDEX('Gaseous fuels'!$D$2:$H$90,D$14,$A19)="","",INDEX('Gaseous fuels'!$D$2:$H$90,D$14,$A19))</f>
        <v>28</v>
      </c>
      <c r="E19" s="2" t="str">
        <f>IF(INDEX('Gaseous fuels'!$D$2:$H$90,E$14,$A19)="","",INDEX('Gaseous fuels'!$D$2:$H$90,E$14,$A19))</f>
        <v>DIN1942</v>
      </c>
      <c r="F19" s="2">
        <f>IF(INDEX('Gaseous fuels'!$D$2:$H$90,F$14,$A19)="","",INDEX('Gaseous fuels'!$D$2:$H$90,F$14,$A19))</f>
        <v>60.97167755246987</v>
      </c>
      <c r="G19" s="2">
        <f>IF(INDEX('Gaseous fuels'!$D$2:$H$90,G$14,$A19)="","",INDEX('Gaseous fuels'!$D$2:$H$90,G$14,$A19))</f>
        <v>6.7622</v>
      </c>
      <c r="H19" s="6">
        <f>IF(LEFT(E19,3)&lt;&gt;"",0.01,"")</f>
        <v>0.01</v>
      </c>
      <c r="I19" s="5">
        <f t="shared" si="0"/>
        <v>0.1</v>
      </c>
      <c r="J19" s="5">
        <f>IF(LEFT(E19,3)="sam",0.01,IF(E19="","",0.02))</f>
        <v>0.02</v>
      </c>
      <c r="K19" s="2" t="s">
        <v>34</v>
      </c>
      <c r="L19" s="2">
        <f>IF(INDEX('Gaseous fuels'!$D$2:$H$90,L$14,$A19)="","",INDEX('Gaseous fuels'!$D$2:$H$90,L$14,$A19))</f>
        <v>0</v>
      </c>
      <c r="M19" s="2">
        <f>IF(INDEX('Gaseous fuels'!$D$2:$H$90,M$14,$A19)="","",INDEX('Gaseous fuels'!$D$2:$H$90,M$14,$A19))</f>
        <v>8.2971</v>
      </c>
      <c r="N19" s="2">
        <f>IF(INDEX('Gaseous fuels'!$D$2:$H$90,N$14,$A19)="","",INDEX('Gaseous fuels'!$D$2:$H$90,N$14,$A19))</f>
        <v>7.460700000000001</v>
      </c>
      <c r="O19" s="2">
        <f>IF(INDEX('Gaseous fuels'!$D$2:$H$90,O$14,$A19)="","",INDEX('Gaseous fuels'!$D$2:$H$90,O$14,$A19))</f>
        <v>0.86296</v>
      </c>
      <c r="P19" s="2">
        <f>IF(INDEX('Gaseous fuels'!$D$2:$H$90,P$14,$A19)="","",INDEX('Gaseous fuels'!$D$2:$H$90,P$14,$A19))</f>
        <v>1.6239999999999999</v>
      </c>
      <c r="Q19" s="261">
        <f>IF(INDEX('Gaseous fuels'!$D$2:$H$90,Q$14,$A19)="","",INDEX('Gaseous fuels'!$D$2:$H$90,Q$14,$A19))</f>
        <v>0</v>
      </c>
    </row>
    <row r="20" spans="1:17" ht="12">
      <c r="A20" s="3">
        <v>4</v>
      </c>
      <c r="B20" s="2" t="str">
        <f>IF(INDEX('Gaseous fuels'!$D$2:$H$90,B$14,$A20)="","",INDEX('Gaseous fuels'!$D$2:$H$90,B$14,$A20))</f>
        <v>GF 2</v>
      </c>
      <c r="C20" s="2">
        <f>IF(INDEX('Gaseous fuels'!$D$2:$H$90,C$14,$A20)="","",INDEX('Gaseous fuels'!$D$2:$H$90,C$14,$A20))</f>
        <v>100</v>
      </c>
      <c r="D20" s="2">
        <f>IF(INDEX('Gaseous fuels'!$D$2:$H$90,D$14,$A20)="","",INDEX('Gaseous fuels'!$D$2:$H$90,D$14,$A20))</f>
        <v>35</v>
      </c>
      <c r="E20" s="2" t="str">
        <f>IF(INDEX('Gaseous fuels'!$D$2:$H$90,E$14,$A20)="","",INDEX('Gaseous fuels'!$D$2:$H$90,E$14,$A20))</f>
        <v>DIN1942</v>
      </c>
      <c r="F20" s="2">
        <f>IF(INDEX('Gaseous fuels'!$D$2:$H$90,F$14,$A20)="","",INDEX('Gaseous fuels'!$D$2:$H$90,F$14,$A20))</f>
        <v>57.707457307123505</v>
      </c>
      <c r="G20" s="2">
        <f>IF(INDEX('Gaseous fuels'!$D$2:$H$90,G$14,$A20)="","",INDEX('Gaseous fuels'!$D$2:$H$90,G$14,$A20))</f>
        <v>8.403</v>
      </c>
      <c r="H20" s="6">
        <f>IF(LEFT(E20,3)&lt;&gt;"",0.01,"")</f>
        <v>0.01</v>
      </c>
      <c r="I20" s="5">
        <f t="shared" si="0"/>
        <v>0.1</v>
      </c>
      <c r="J20" s="5">
        <f>IF(LEFT(E20,3)="sam",0.01,IF(E20="","",0.02))</f>
        <v>0.02</v>
      </c>
      <c r="K20" s="2" t="s">
        <v>34</v>
      </c>
      <c r="L20" s="2">
        <f>IF(INDEX('Gaseous fuels'!$D$2:$H$90,L$14,$A20)="","",INDEX('Gaseous fuels'!$D$2:$H$90,L$14,$A20))</f>
        <v>0</v>
      </c>
      <c r="M20" s="2">
        <f>IF(INDEX('Gaseous fuels'!$D$2:$H$90,M$14,$A20)="","",INDEX('Gaseous fuels'!$D$2:$H$90,M$14,$A20))</f>
        <v>10.341099999999999</v>
      </c>
      <c r="N20" s="2">
        <f>IF(INDEX('Gaseous fuels'!$D$2:$H$90,N$14,$A20)="","",INDEX('Gaseous fuels'!$D$2:$H$90,N$14,$A20))</f>
        <v>9.336</v>
      </c>
      <c r="O20" s="2">
        <f>IF(INDEX('Gaseous fuels'!$D$2:$H$90,O$14,$A20)="","",INDEX('Gaseous fuels'!$D$2:$H$90,O$14,$A20))</f>
        <v>1.02095</v>
      </c>
      <c r="P20" s="2">
        <f>IF(INDEX('Gaseous fuels'!$D$2:$H$90,P$14,$A20)="","",INDEX('Gaseous fuels'!$D$2:$H$90,P$14,$A20))</f>
        <v>2.0496000000000003</v>
      </c>
      <c r="Q20" s="261">
        <f>IF(INDEX('Gaseous fuels'!$D$2:$H$90,Q$14,$A20)="","",INDEX('Gaseous fuels'!$D$2:$H$90,Q$14,$A20))</f>
        <v>0</v>
      </c>
    </row>
    <row r="21" spans="1:17" ht="12">
      <c r="A21" s="3">
        <v>5</v>
      </c>
      <c r="B21" s="2" t="str">
        <f>IF(INDEX('Gaseous fuels'!$D$2:$H$90,B$14,$A21)="","",INDEX('Gaseous fuels'!$D$2:$H$90,B$14,$A21))</f>
        <v>GF 3</v>
      </c>
      <c r="C21" s="2">
        <f>IF(INDEX('Gaseous fuels'!$D$2:$H$90,C$14,$A21)="","",INDEX('Gaseous fuels'!$D$2:$H$90,C$14,$A21))</f>
        <v>100</v>
      </c>
      <c r="D21" s="2">
        <f>IF(INDEX('Gaseous fuels'!$D$2:$H$90,D$14,$A21)="","",INDEX('Gaseous fuels'!$D$2:$H$90,D$14,$A21))</f>
        <v>40</v>
      </c>
      <c r="E21" s="2" t="str">
        <f>IF(INDEX('Gaseous fuels'!$D$2:$H$90,E$14,$A21)="","",INDEX('Gaseous fuels'!$D$2:$H$90,E$14,$A21))</f>
        <v>DIN1942</v>
      </c>
      <c r="F21" s="2">
        <f>IF(INDEX('Gaseous fuels'!$D$2:$H$90,F$14,$A21)="","",INDEX('Gaseous fuels'!$D$2:$H$90,F$14,$A21))</f>
        <v>56.07534718445032</v>
      </c>
      <c r="G21" s="2">
        <f>IF(INDEX('Gaseous fuels'!$D$2:$H$90,G$14,$A21)="","",INDEX('Gaseous fuels'!$D$2:$H$90,G$14,$A21))</f>
        <v>9.575</v>
      </c>
      <c r="H21" s="6">
        <f>IF(LEFT(E21,3)&lt;&gt;"",0.01,"")</f>
        <v>0.01</v>
      </c>
      <c r="I21" s="5">
        <f t="shared" si="0"/>
        <v>0.1</v>
      </c>
      <c r="J21" s="5">
        <f>IF(LEFT(E21,3)="sam",0.01,IF(E21="","",0.02))</f>
        <v>0.02</v>
      </c>
      <c r="K21" s="2" t="s">
        <v>34</v>
      </c>
      <c r="L21" s="2">
        <f>IF(INDEX('Gaseous fuels'!$D$2:$H$90,L$14,$A21)="","",INDEX('Gaseous fuels'!$D$2:$H$90,L$14,$A21))</f>
        <v>0</v>
      </c>
      <c r="M21" s="2">
        <f>IF(INDEX('Gaseous fuels'!$D$2:$H$90,M$14,$A21)="","",INDEX('Gaseous fuels'!$D$2:$H$90,M$14,$A21))</f>
        <v>11.8011</v>
      </c>
      <c r="N21" s="2">
        <f>IF(INDEX('Gaseous fuels'!$D$2:$H$90,N$14,$A21)="","",INDEX('Gaseous fuels'!$D$2:$H$90,N$14,$A21))</f>
        <v>10.675500000000001</v>
      </c>
      <c r="O21" s="2">
        <f>IF(INDEX('Gaseous fuels'!$D$2:$H$90,O$14,$A21)="","",INDEX('Gaseous fuels'!$D$2:$H$90,O$14,$A21))</f>
        <v>1.1338000000000001</v>
      </c>
      <c r="P21" s="2">
        <f>IF(INDEX('Gaseous fuels'!$D$2:$H$90,P$14,$A21)="","",INDEX('Gaseous fuels'!$D$2:$H$90,P$14,$A21))</f>
        <v>2.3536</v>
      </c>
      <c r="Q21" s="261">
        <f>IF(INDEX('Gaseous fuels'!$D$2:$H$90,Q$14,$A21)="","",INDEX('Gaseous fuels'!$D$2:$H$90,Q$14,$A21))</f>
        <v>0</v>
      </c>
    </row>
    <row r="22" spans="1:17" ht="12">
      <c r="A22" s="3">
        <v>1</v>
      </c>
      <c r="B22" s="2" t="str">
        <f>IF(INDEX('Liquid fuels'!$D$2:$H$51,B$14,$A22)="","",INDEX('Liquid fuels'!$D$2:$H$101,B$14,$A22))</f>
        <v>DIESEL</v>
      </c>
      <c r="C22" s="2">
        <f>IF(INDEX('Liquid fuels'!$D$2:$H$51,C$14,$A22)="","",INDEX('Liquid fuels'!$D$2:$H$101,C$14,$A22))</f>
        <v>100</v>
      </c>
      <c r="D22" s="2">
        <f>IF(INDEX('Liquid fuels'!$D$2:$H$51,D$14,$A22)="","",INDEX('Liquid fuels'!$D$2:$H$101,D$14,$A22))</f>
        <v>42.48</v>
      </c>
      <c r="E22" s="2" t="str">
        <f>IF(INDEX('Liquid fuels'!$D$2:$H$51,E$14,$A22)="","",INDEX('Liquid fuels'!$D$2:$H$101,E$14,$A22))</f>
        <v>samenstelling</v>
      </c>
      <c r="F22" s="2">
        <f>IF(INDEX('Liquid fuels'!$D$2:$H$51,F$14,$A22)="","",INDEX('Liquid fuels'!$D$2:$H$101,F$14,$A22))</f>
        <v>74.352056597209</v>
      </c>
      <c r="G22" s="2">
        <f>IF(INDEX('Liquid fuels'!$D$2:$H$51,G$14,$A22)="","",INDEX('Liquid fuels'!$D$2:$H$101,G$14,$A22))</f>
        <v>10.401193581411476</v>
      </c>
      <c r="H22" s="6">
        <f>IF(LEFT(E22,3)&lt;&gt;"",0.02,"")</f>
        <v>0.02</v>
      </c>
      <c r="I22" s="5">
        <f t="shared" si="0"/>
        <v>0.02</v>
      </c>
      <c r="J22" s="5">
        <f>IF(LEFT(E22,3)="sam",0.02,IF(E22="","",0.05))</f>
        <v>0.02</v>
      </c>
      <c r="K22" s="2" t="s">
        <v>35</v>
      </c>
      <c r="L22" s="2">
        <f>IF(INDEX('Liquid fuels'!$D$2:$H$51,L$14,$A22)="","",INDEX('Liquid fuels'!$D$2:$H$101,L$14,$A22))</f>
        <v>0.0845871617835203</v>
      </c>
      <c r="M22" s="2">
        <f>IF(INDEX('Liquid fuels'!$D$2:$H$51,M$14,$A22)="","",INDEX('Liquid fuels'!$D$2:$H$101,M$14,$A22))</f>
        <v>11.806788878563971</v>
      </c>
      <c r="N22" s="2">
        <f>IF(INDEX('Liquid fuels'!$D$2:$H$51,N$14,$A22)="","",INDEX('Liquid fuels'!$D$2:$H$101,N$14,$A22))</f>
        <v>11.136479602049928</v>
      </c>
      <c r="O22" s="2">
        <f>IF(INDEX('Liquid fuels'!$D$2:$H$51,O$14,$A22)="","",INDEX('Liquid fuels'!$D$2:$H$101,O$14,$A22))</f>
        <v>1.5965480143202064</v>
      </c>
      <c r="P22" s="2">
        <f>IF(INDEX('Liquid fuels'!$D$2:$H$51,P$14,$A22)="","",INDEX('Liquid fuels'!$D$2:$H$101,P$14,$A22))</f>
        <v>1.4055952971524954</v>
      </c>
      <c r="Q22" s="261">
        <f>IF(INDEX('Liquid fuels'!$D$2:$H$51,Q$14,$A22)="","",INDEX('Liquid fuels'!$D$2:$H$101,Q$14,$A22))</f>
        <v>0.0012576419213973797</v>
      </c>
    </row>
    <row r="23" spans="1:17" ht="12">
      <c r="A23" s="3">
        <v>2</v>
      </c>
      <c r="B23" s="2" t="str">
        <f>IF(INDEX('Liquid fuels'!$D$2:$H$51,B$14,$A23)="","",INDEX('Liquid fuels'!$D$2:$H$101,B$14,$A23))</f>
        <v>HFO</v>
      </c>
      <c r="C23" s="2">
        <f>IF(INDEX('Liquid fuels'!$D$2:$H$51,C$14,$A23)="","",INDEX('Liquid fuels'!$D$2:$H$101,C$14,$A23))</f>
        <v>100</v>
      </c>
      <c r="D23" s="2">
        <f>IF(INDEX('Liquid fuels'!$D$2:$H$51,D$14,$A23)="","",INDEX('Liquid fuels'!$D$2:$H$101,D$14,$A23))</f>
        <v>40.23</v>
      </c>
      <c r="E23" s="2" t="str">
        <f>IF(INDEX('Liquid fuels'!$D$2:$H$51,E$14,$A23)="","",INDEX('Liquid fuels'!$D$2:$H$101,E$14,$A23))</f>
        <v>samenstelling</v>
      </c>
      <c r="F23" s="2">
        <f>IF(INDEX('Liquid fuels'!$D$2:$H$51,F$14,$A23)="","",INDEX('Liquid fuels'!$D$2:$H$101,F$14,$A23))</f>
        <v>77.94575669957689</v>
      </c>
      <c r="G23" s="2">
        <f>IF(INDEX('Liquid fuels'!$D$2:$H$51,G$14,$A23)="","",INDEX('Liquid fuels'!$D$2:$H$101,G$14,$A23))</f>
        <v>9.894888556435353</v>
      </c>
      <c r="H23" s="6">
        <f aca="true" t="shared" si="1" ref="H23:H31">IF(LEFT(E23,3)&lt;&gt;"",0.02,"")</f>
        <v>0.02</v>
      </c>
      <c r="I23" s="5">
        <f t="shared" si="0"/>
        <v>0.02</v>
      </c>
      <c r="J23" s="5">
        <f>IF(LEFT(E23,3)="sam",0.02,IF(E23="","",0.05))</f>
        <v>0.02</v>
      </c>
      <c r="K23" s="2" t="s">
        <v>35</v>
      </c>
      <c r="L23" s="2">
        <f>IF(INDEX('Liquid fuels'!$D$2:$H$51,L$14,$A23)="","",INDEX('Liquid fuels'!$D$2:$H$101,L$14,$A23))</f>
        <v>1.6523827666525714</v>
      </c>
      <c r="M23" s="2">
        <f>IF(INDEX('Liquid fuels'!$D$2:$H$51,M$14,$A23)="","",INDEX('Liquid fuels'!$D$2:$H$101,M$14,$A23))</f>
        <v>11.017218847138796</v>
      </c>
      <c r="N23" s="2">
        <f>IF(INDEX('Liquid fuels'!$D$2:$H$51,N$14,$A23)="","",INDEX('Liquid fuels'!$D$2:$H$101,N$14,$A23))</f>
        <v>10.482638163915775</v>
      </c>
      <c r="O23" s="2">
        <f>IF(INDEX('Liquid fuels'!$D$2:$H$51,O$14,$A23)="","",INDEX('Liquid fuels'!$D$2:$H$101,O$14,$A23))</f>
        <v>1.585064722337857</v>
      </c>
      <c r="P23" s="2">
        <f>IF(INDEX('Liquid fuels'!$D$2:$H$51,P$14,$A23)="","",INDEX('Liquid fuels'!$D$2:$H$101,P$14,$A23))</f>
        <v>1.122330290703443</v>
      </c>
      <c r="Q23" s="261">
        <f>IF(INDEX('Liquid fuels'!$D$2:$H$51,Q$14,$A23)="","",INDEX('Liquid fuels'!$D$2:$H$101,Q$14,$A23))</f>
        <v>0.02326637554585153</v>
      </c>
    </row>
    <row r="24" spans="1:17" ht="12">
      <c r="A24" s="3">
        <v>3</v>
      </c>
      <c r="B24" s="2" t="str">
        <f>IF(INDEX('Liquid fuels'!$D$2:$H$51,B$14,$A24)="","",INDEX('Liquid fuels'!$D$2:$H$101,B$14,$A24))</f>
        <v>LFO</v>
      </c>
      <c r="C24" s="2">
        <f>IF(INDEX('Liquid fuels'!$D$2:$H$51,C$14,$A24)="","",INDEX('Liquid fuels'!$D$2:$H$101,C$14,$A24))</f>
        <v>100</v>
      </c>
      <c r="D24" s="2">
        <f>IF(INDEX('Liquid fuels'!$D$2:$H$51,D$14,$A24)="","",INDEX('Liquid fuels'!$D$2:$H$101,D$14,$A24))</f>
        <v>42.65</v>
      </c>
      <c r="E24" s="2" t="str">
        <f>IF(INDEX('Liquid fuels'!$D$2:$H$51,E$14,$A24)="","",INDEX('Liquid fuels'!$D$2:$H$101,E$14,$A24))</f>
        <v>samenstelling</v>
      </c>
      <c r="F24" s="2">
        <f>IF(INDEX('Liquid fuels'!$D$2:$H$51,F$14,$A24)="","",INDEX('Liquid fuels'!$D$2:$H$101,F$14,$A24))</f>
        <v>74.15878812924808</v>
      </c>
      <c r="G24" s="2">
        <f>IF(INDEX('Liquid fuels'!$D$2:$H$51,G$14,$A24)="","",INDEX('Liquid fuels'!$D$2:$H$101,G$14,$A24))</f>
        <v>10.478166529491505</v>
      </c>
      <c r="H24" s="6">
        <f t="shared" si="1"/>
        <v>0.02</v>
      </c>
      <c r="I24" s="5">
        <f t="shared" si="0"/>
        <v>0.02</v>
      </c>
      <c r="J24" s="5">
        <f>IF(LEFT(E24,3)="sam",0.02,IF(E24="","",0.05))</f>
        <v>0.02</v>
      </c>
      <c r="K24" s="2" t="s">
        <v>35</v>
      </c>
      <c r="L24" s="2">
        <f>IF(INDEX('Liquid fuels'!$D$2:$H$51,L$14,$A24)="","",INDEX('Liquid fuels'!$D$2:$H$101,L$14,$A24))</f>
        <v>0.07956944737994921</v>
      </c>
      <c r="M24" s="2">
        <f>IF(INDEX('Liquid fuels'!$D$2:$H$51,M$14,$A24)="","",INDEX('Liquid fuels'!$D$2:$H$101,M$14,$A24))</f>
        <v>11.912732111394472</v>
      </c>
      <c r="N24" s="2">
        <f>IF(INDEX('Liquid fuels'!$D$2:$H$51,N$14,$A24)="","",INDEX('Liquid fuels'!$D$2:$H$101,N$14,$A24))</f>
        <v>11.231129879321681</v>
      </c>
      <c r="O24" s="2">
        <f>IF(INDEX('Liquid fuels'!$D$2:$H$51,O$14,$A24)="","",INDEX('Liquid fuels'!$D$2:$H$101,O$14,$A24))</f>
        <v>1.5987705869619515</v>
      </c>
      <c r="P24" s="2">
        <f>IF(INDEX('Liquid fuels'!$D$2:$H$51,P$14,$A24)="","",INDEX('Liquid fuels'!$D$2:$H$101,P$14,$A24))</f>
        <v>1.4345655819029668</v>
      </c>
      <c r="Q24" s="261">
        <f>IF(INDEX('Liquid fuels'!$D$2:$H$51,Q$14,$A24)="","",INDEX('Liquid fuels'!$D$2:$H$101,Q$14,$A24))</f>
        <v>0.0011877729257641918</v>
      </c>
    </row>
    <row r="25" spans="1:17" ht="12">
      <c r="A25" s="3">
        <v>4</v>
      </c>
      <c r="B25" s="2" t="str">
        <f>IF(INDEX('Liquid fuels'!$D$2:$H$51,B$14,$A25)="","",INDEX('Liquid fuels'!$D$2:$H$101,B$14,$A25))</f>
        <v>LF1</v>
      </c>
      <c r="C25" s="2">
        <f>IF(INDEX('Liquid fuels'!$D$2:$H$51,C$14,$A25)="","",INDEX('Liquid fuels'!$D$2:$H$101,C$14,$A25))</f>
        <v>100</v>
      </c>
      <c r="D25" s="2">
        <f>IF(INDEX('Liquid fuels'!$D$2:$H$51,D$14,$A25)="","",INDEX('Liquid fuels'!$D$2:$H$101,D$14,$A25))</f>
        <v>41</v>
      </c>
      <c r="E25" s="2" t="str">
        <f>IF(INDEX('Liquid fuels'!$D$2:$H$51,E$14,$A25)="","",INDEX('Liquid fuels'!$D$2:$H$101,E$14,$A25))</f>
        <v>DIN1942</v>
      </c>
      <c r="F25" s="2">
        <f>IF(INDEX('Liquid fuels'!$D$2:$H$51,F$14,$A25)="","",INDEX('Liquid fuels'!$D$2:$H$101,F$14,$A25))</f>
        <v>75.94906842602502</v>
      </c>
      <c r="G25" s="2">
        <f>IF(INDEX('Liquid fuels'!$D$2:$H$51,G$14,$A25)="","",INDEX('Liquid fuels'!$D$2:$H$101,G$14,$A25))</f>
        <v>9.9818</v>
      </c>
      <c r="H25" s="6">
        <f t="shared" si="1"/>
        <v>0.02</v>
      </c>
      <c r="I25" s="5">
        <f t="shared" si="0"/>
        <v>0.1</v>
      </c>
      <c r="J25" s="5">
        <f>IF(LEFT(E25,3)="sam",0.02,IF(E25="","",0.05))</f>
        <v>0.05</v>
      </c>
      <c r="K25" s="2" t="s">
        <v>35</v>
      </c>
      <c r="L25" s="2">
        <f>IF(INDEX('Liquid fuels'!$D$2:$H$51,L$14,$A25)="","",INDEX('Liquid fuels'!$D$2:$H$101,L$14,$A25))</f>
        <v>0</v>
      </c>
      <c r="M25" s="2">
        <f>IF(INDEX('Liquid fuels'!$D$2:$H$51,M$14,$A25)="","",INDEX('Liquid fuels'!$D$2:$H$101,M$14,$A25))</f>
        <v>11.337399999999999</v>
      </c>
      <c r="N25" s="2">
        <f>IF(INDEX('Liquid fuels'!$D$2:$H$51,N$14,$A25)="","",INDEX('Liquid fuels'!$D$2:$H$101,N$14,$A25))</f>
        <v>10.636400000000002</v>
      </c>
      <c r="O25" s="2">
        <f>IF(INDEX('Liquid fuels'!$D$2:$H$51,O$14,$A25)="","",INDEX('Liquid fuels'!$D$2:$H$101,O$14,$A25))</f>
        <v>1.574022</v>
      </c>
      <c r="P25" s="2">
        <f>IF(INDEX('Liquid fuels'!$D$2:$H$51,P$14,$A25)="","",INDEX('Liquid fuels'!$D$2:$H$101,P$14,$A25))</f>
        <v>1.3556000000000004</v>
      </c>
      <c r="Q25" s="261">
        <f>IF(INDEX('Liquid fuels'!$D$2:$H$51,Q$14,$A25)="","",INDEX('Liquid fuels'!$D$2:$H$101,Q$14,$A25))</f>
        <v>0</v>
      </c>
    </row>
    <row r="26" spans="1:17" ht="12">
      <c r="A26" s="3">
        <v>5</v>
      </c>
      <c r="B26" s="2" t="str">
        <f>IF(INDEX('Liquid fuels'!$D$2:$H$51,B$14,$A26)="","",INDEX('Liquid fuels'!$D$2:$H$101,B$14,$A26))</f>
        <v>LF 2</v>
      </c>
      <c r="C26" s="2">
        <f>IF(INDEX('Liquid fuels'!$D$2:$H$51,C$14,$A26)="","",INDEX('Liquid fuels'!$D$2:$H$101,C$14,$A26))</f>
        <v>100</v>
      </c>
      <c r="D26" s="2">
        <f>IF(INDEX('Liquid fuels'!$D$2:$H$51,D$14,$A26)="","",INDEX('Liquid fuels'!$D$2:$H$101,D$14,$A26))</f>
        <v>45</v>
      </c>
      <c r="E26" s="2" t="str">
        <f>IF(INDEX('Liquid fuels'!$D$2:$H$51,E$14,$A26)="","",INDEX('Liquid fuels'!$D$2:$H$101,E$14,$A26))</f>
        <v>DIN1942</v>
      </c>
      <c r="F26" s="2">
        <f>IF(INDEX('Liquid fuels'!$D$2:$H$51,F$14,$A26)="","",INDEX('Liquid fuels'!$D$2:$H$101,F$14,$A26))</f>
        <v>70.8408331467838</v>
      </c>
      <c r="G26" s="2">
        <f>IF(INDEX('Liquid fuels'!$D$2:$H$51,G$14,$A26)="","",INDEX('Liquid fuels'!$D$2:$H$101,G$14,$A26))</f>
        <v>10.865</v>
      </c>
      <c r="H26" s="6">
        <f t="shared" si="1"/>
        <v>0.02</v>
      </c>
      <c r="I26" s="5">
        <f t="shared" si="0"/>
        <v>0.1</v>
      </c>
      <c r="J26" s="5">
        <f>IF(LEFT(E26,3)="sam",0.02,IF(E26="","",0.05))</f>
        <v>0.05</v>
      </c>
      <c r="K26" s="2" t="s">
        <v>35</v>
      </c>
      <c r="L26" s="2">
        <f>IF(INDEX('Liquid fuels'!$D$2:$H$51,L$14,$A26)="","",INDEX('Liquid fuels'!$D$2:$H$101,L$14,$A26))</f>
        <v>0</v>
      </c>
      <c r="M26" s="2">
        <f>IF(INDEX('Liquid fuels'!$D$2:$H$51,M$14,$A26)="","",INDEX('Liquid fuels'!$D$2:$H$101,M$14,$A26))</f>
        <v>12.5878</v>
      </c>
      <c r="N26" s="2">
        <f>IF(INDEX('Liquid fuels'!$D$2:$H$51,N$14,$A26)="","",INDEX('Liquid fuels'!$D$2:$H$101,N$14,$A26))</f>
        <v>11.706400000000002</v>
      </c>
      <c r="O26" s="2">
        <f>IF(INDEX('Liquid fuels'!$D$2:$H$51,O$14,$A26)="","",INDEX('Liquid fuels'!$D$2:$H$101,O$14,$A26))</f>
        <v>1.61139</v>
      </c>
      <c r="P26" s="2">
        <f>IF(INDEX('Liquid fuels'!$D$2:$H$51,P$14,$A26)="","",INDEX('Liquid fuels'!$D$2:$H$101,P$14,$A26))</f>
        <v>1.7228000000000003</v>
      </c>
      <c r="Q26" s="261">
        <f>IF(INDEX('Liquid fuels'!$D$2:$H$51,Q$14,$A26)="","",INDEX('Liquid fuels'!$D$2:$H$101,Q$14,$A26))</f>
        <v>0</v>
      </c>
    </row>
    <row r="27" spans="1:17" ht="12">
      <c r="A27" s="3">
        <v>1</v>
      </c>
      <c r="B27" s="2" t="str">
        <f>IF(INDEX('Solid fuels'!$D$2:$H$153,B$14,$A27)="","",INDEX('Solid fuels'!$D$2:$H$102,B$14,$A27))</f>
        <v>KOLEN</v>
      </c>
      <c r="C27" s="2">
        <f>IF(INDEX('Solid fuels'!$D$2:$H$153,C$14,$A27)="","",INDEX('Solid fuels'!$D$2:$H$102,C$14,$A27))</f>
        <v>100</v>
      </c>
      <c r="D27" s="2">
        <f>IF(INDEX('Solid fuels'!$D$2:$H$153,D$14,$A27)="","",INDEX('Solid fuels'!$D$2:$H$102,D$14,$A27))</f>
        <v>25.87</v>
      </c>
      <c r="E27" s="2" t="str">
        <f>IF(INDEX('Solid fuels'!$D$2:$H$153,E$14,$A27)="","",INDEX('Solid fuels'!$D$2:$H$102,E$14,$A27))</f>
        <v>samenstelling</v>
      </c>
      <c r="F27" s="2">
        <f>IF(INDEX('Solid fuels'!$D$2:$H$153,F$14,$A27)="","",INDEX('Solid fuels'!$D$2:$H$102,F$14,$A27))</f>
        <v>95.95615610056198</v>
      </c>
      <c r="G27" s="2">
        <f>IF(INDEX('Solid fuels'!$D$2:$H$153,G$14,$A27)="","",INDEX('Solid fuels'!$D$2:$H$102,G$14,$A27))</f>
        <v>6.801177300176627</v>
      </c>
      <c r="H27" s="6">
        <f t="shared" si="1"/>
        <v>0.02</v>
      </c>
      <c r="I27" s="5">
        <f t="shared" si="0"/>
        <v>0.02</v>
      </c>
      <c r="J27" s="5">
        <f>IF(LEFT(E27,3)="sam",0.04,IF(E27="","",0.07))</f>
        <v>0.04</v>
      </c>
      <c r="K27" s="2" t="s">
        <v>35</v>
      </c>
      <c r="L27" s="2">
        <f>IF(INDEX('Solid fuels'!$D$2:$H$153,L$14,$A27)="","",INDEX('Solid fuels'!$D$2:$H$102,L$14,$A27))</f>
        <v>0.7083741564003133</v>
      </c>
      <c r="M27" s="2">
        <f>IF(INDEX('Solid fuels'!$D$2:$H$153,M$14,$A27)="","",INDEX('Solid fuels'!$D$2:$H$102,M$14,$A27))</f>
        <v>7.36257142690907</v>
      </c>
      <c r="N27" s="2">
        <f>IF(INDEX('Solid fuels'!$D$2:$H$153,N$14,$A27)="","",INDEX('Solid fuels'!$D$2:$H$102,N$14,$A27))</f>
        <v>6.994247869338144</v>
      </c>
      <c r="O27" s="2">
        <f>IF(INDEX('Solid fuels'!$D$2:$H$153,O$14,$A27)="","",INDEX('Solid fuels'!$D$2:$H$102,O$14,$A27))</f>
        <v>1.2547978363500125</v>
      </c>
      <c r="P27" s="2">
        <f>IF(INDEX('Solid fuels'!$D$2:$H$153,P$14,$A27)="","",INDEX('Solid fuels'!$D$2:$H$102,P$14,$A27))</f>
        <v>0.561394126732443</v>
      </c>
      <c r="Q27" s="261">
        <f>IF(INDEX('Solid fuels'!$D$2:$H$153,Q$14,$A27)="","",INDEX('Solid fuels'!$D$2:$H$102,Q$14,$A27))</f>
        <v>0.006413973799126637</v>
      </c>
    </row>
    <row r="28" spans="1:17" ht="12">
      <c r="A28" s="3">
        <v>2</v>
      </c>
      <c r="B28" s="2" t="str">
        <f>IF(INDEX('Solid fuels'!$D$2:$H$153,B$14,$A28)="","",INDEX('Solid fuels'!$D$2:$H$102,B$14,$A28))</f>
        <v>SF 1</v>
      </c>
      <c r="C28" s="2">
        <f>IF(INDEX('Solid fuels'!$D$2:$H$153,C$14,$A28)="","",INDEX('Solid fuels'!$D$2:$H$102,C$14,$A28))</f>
        <v>100</v>
      </c>
      <c r="D28" s="2">
        <f>IF(INDEX('Solid fuels'!$D$2:$H$153,D$14,$A28)="","",INDEX('Solid fuels'!$D$2:$H$102,D$14,$A28))</f>
        <v>10</v>
      </c>
      <c r="E28" s="2" t="str">
        <f>IF(INDEX('Solid fuels'!$D$2:$H$153,E$14,$A28)="","",INDEX('Solid fuels'!$D$2:$H$102,E$14,$A28))</f>
        <v>DIN1942</v>
      </c>
      <c r="F28" s="2">
        <f>IF(INDEX('Solid fuels'!$D$2:$H$153,F$14,$A28)="","",INDEX('Solid fuels'!$D$2:$H$102,F$14,$A28))</f>
        <v>107.1455566593695</v>
      </c>
      <c r="G28" s="2">
        <f>IF(INDEX('Solid fuels'!$D$2:$H$153,G$14,$A28)="","",INDEX('Solid fuels'!$D$2:$H$102,G$14,$A28))</f>
        <v>2.8360000000000003</v>
      </c>
      <c r="H28" s="6">
        <f t="shared" si="1"/>
        <v>0.02</v>
      </c>
      <c r="I28" s="5">
        <f t="shared" si="0"/>
        <v>0.1</v>
      </c>
      <c r="J28" s="5">
        <f>IF(LEFT(E28,3)="sam",0.04,IF(E28="","",0.07))</f>
        <v>0.07</v>
      </c>
      <c r="K28" s="2" t="s">
        <v>35</v>
      </c>
      <c r="L28" s="2">
        <f>IF(INDEX('Solid fuels'!$D$2:$H$153,L$14,$A28)="","",INDEX('Solid fuels'!$D$2:$H$102,L$14,$A28))</f>
        <v>0</v>
      </c>
      <c r="M28" s="2">
        <f>IF(INDEX('Solid fuels'!$D$2:$H$153,M$14,$A28)="","",INDEX('Solid fuels'!$D$2:$H$102,M$14,$A28))</f>
        <v>3.7656</v>
      </c>
      <c r="N28" s="2">
        <f>IF(INDEX('Solid fuels'!$D$2:$H$153,N$14,$A28)="","",INDEX('Solid fuels'!$D$2:$H$102,N$14,$A28))</f>
        <v>2.9028</v>
      </c>
      <c r="O28" s="2">
        <f>IF(INDEX('Solid fuels'!$D$2:$H$153,O$14,$A28)="","",INDEX('Solid fuels'!$D$2:$H$102,O$14,$A28))</f>
        <v>0.5416</v>
      </c>
      <c r="P28" s="2">
        <f>IF(INDEX('Solid fuels'!$D$2:$H$153,P$14,$A28)="","",INDEX('Solid fuels'!$D$2:$H$102,P$14,$A28))</f>
        <v>0.93</v>
      </c>
      <c r="Q28" s="261">
        <f>IF(INDEX('Solid fuels'!$D$2:$H$153,Q$14,$A28)="","",INDEX('Solid fuels'!$D$2:$H$102,Q$14,$A28))</f>
        <v>0</v>
      </c>
    </row>
    <row r="29" spans="1:17" ht="12">
      <c r="A29" s="3">
        <v>3</v>
      </c>
      <c r="B29" s="2" t="str">
        <f>IF(INDEX('Solid fuels'!$D$2:$H$153,B$14,$A29)="","",INDEX('Solid fuels'!$D$2:$H$102,B$14,$A29))</f>
        <v>SF 2</v>
      </c>
      <c r="C29" s="2">
        <f>IF(INDEX('Solid fuels'!$D$2:$H$153,C$14,$A29)="","",INDEX('Solid fuels'!$D$2:$H$102,C$14,$A29))</f>
        <v>50</v>
      </c>
      <c r="D29" s="2">
        <f>IF(INDEX('Solid fuels'!$D$2:$H$153,D$14,$A29)="","",INDEX('Solid fuels'!$D$2:$H$102,D$14,$A29))</f>
        <v>15</v>
      </c>
      <c r="E29" s="2" t="str">
        <f>IF(INDEX('Solid fuels'!$D$2:$H$153,E$14,$A29)="","",INDEX('Solid fuels'!$D$2:$H$102,E$14,$A29))</f>
        <v>DIN1942</v>
      </c>
      <c r="F29" s="2">
        <f>IF(INDEX('Solid fuels'!$D$2:$H$153,F$14,$A29)="","",INDEX('Solid fuels'!$D$2:$H$102,F$14,$A29))</f>
        <v>100.4456621759919</v>
      </c>
      <c r="G29" s="2">
        <f>IF(INDEX('Solid fuels'!$D$2:$H$153,G$14,$A29)="","",INDEX('Solid fuels'!$D$2:$H$102,G$14,$A29))</f>
        <v>4.029</v>
      </c>
      <c r="H29" s="6">
        <f t="shared" si="1"/>
        <v>0.02</v>
      </c>
      <c r="I29" s="5">
        <f t="shared" si="0"/>
        <v>0.1</v>
      </c>
      <c r="J29" s="5">
        <f>IF(LEFT(E29,3)="sam",0.04,IF(E29="","",0.07))</f>
        <v>0.07</v>
      </c>
      <c r="K29" s="2" t="s">
        <v>35</v>
      </c>
      <c r="L29" s="2">
        <f>IF(INDEX('Solid fuels'!$D$2:$H$153,L$14,$A29)="","",INDEX('Solid fuels'!$D$2:$H$102,L$14,$A29))</f>
        <v>0</v>
      </c>
      <c r="M29" s="2">
        <f>IF(INDEX('Solid fuels'!$D$2:$H$153,M$14,$A29)="","",INDEX('Solid fuels'!$D$2:$H$102,M$14,$A29))</f>
        <v>4.8756</v>
      </c>
      <c r="N29" s="2">
        <f>IF(INDEX('Solid fuels'!$D$2:$H$153,N$14,$A29)="","",INDEX('Solid fuels'!$D$2:$H$102,N$14,$A29))</f>
        <v>4.1338</v>
      </c>
      <c r="O29" s="2">
        <f>IF(INDEX('Solid fuels'!$D$2:$H$153,O$14,$A29)="","",INDEX('Solid fuels'!$D$2:$H$102,O$14,$A29))</f>
        <v>0.7615999999999999</v>
      </c>
      <c r="P29" s="2">
        <f>IF(INDEX('Solid fuels'!$D$2:$H$153,P$14,$A29)="","",INDEX('Solid fuels'!$D$2:$H$102,P$14,$A29))</f>
        <v>0.8470000000000001</v>
      </c>
      <c r="Q29" s="261">
        <f>IF(INDEX('Solid fuels'!$D$2:$H$153,Q$14,$A29)="","",INDEX('Solid fuels'!$D$2:$H$102,Q$14,$A29))</f>
        <v>0</v>
      </c>
    </row>
    <row r="30" spans="1:17" ht="12">
      <c r="A30" s="3">
        <v>4</v>
      </c>
      <c r="B30" s="2" t="str">
        <f>IF(INDEX('Solid fuels'!$D$2:$H$153,B$14,$A30)="","",INDEX('Solid fuels'!$D$2:$H$102,B$14,$A30))</f>
        <v>SF 3</v>
      </c>
      <c r="C30" s="2">
        <f>IF(INDEX('Solid fuels'!$D$2:$H$153,C$14,$A30)="","",INDEX('Solid fuels'!$D$2:$H$102,C$14,$A30))</f>
        <v>100</v>
      </c>
      <c r="D30" s="2">
        <f>IF(INDEX('Solid fuels'!$D$2:$H$153,D$14,$A30)="","",INDEX('Solid fuels'!$D$2:$H$102,D$14,$A30))</f>
        <v>20</v>
      </c>
      <c r="E30" s="2" t="str">
        <f>IF(INDEX('Solid fuels'!$D$2:$H$153,E$14,$A30)="","",INDEX('Solid fuels'!$D$2:$H$102,E$14,$A30))</f>
        <v>DIN1942</v>
      </c>
      <c r="F30" s="2">
        <f>IF(INDEX('Solid fuels'!$D$2:$H$153,F$14,$A30)="","",INDEX('Solid fuels'!$D$2:$H$102,F$14,$A30))</f>
        <v>97.09571493430309</v>
      </c>
      <c r="G30" s="2">
        <f>IF(INDEX('Solid fuels'!$D$2:$H$153,G$14,$A30)="","",INDEX('Solid fuels'!$D$2:$H$102,G$14,$A30))</f>
        <v>5.222</v>
      </c>
      <c r="H30" s="6">
        <f t="shared" si="1"/>
        <v>0.02</v>
      </c>
      <c r="I30" s="5">
        <f t="shared" si="0"/>
        <v>0.1</v>
      </c>
      <c r="J30" s="5">
        <f>IF(LEFT(E30,3)="sam",0.04,IF(E30="","",0.07))</f>
        <v>0.07</v>
      </c>
      <c r="K30" s="2" t="s">
        <v>35</v>
      </c>
      <c r="L30" s="2">
        <f>IF(INDEX('Solid fuels'!$D$2:$H$153,L$14,$A30)="","",INDEX('Solid fuels'!$D$2:$H$102,L$14,$A30))</f>
        <v>0</v>
      </c>
      <c r="M30" s="2">
        <f>IF(INDEX('Solid fuels'!$D$2:$H$153,M$14,$A30)="","",INDEX('Solid fuels'!$D$2:$H$102,M$14,$A30))</f>
        <v>5.985600000000001</v>
      </c>
      <c r="N30" s="2">
        <f>IF(INDEX('Solid fuels'!$D$2:$H$153,N$14,$A30)="","",INDEX('Solid fuels'!$D$2:$H$102,N$14,$A30))</f>
        <v>5.364800000000001</v>
      </c>
      <c r="O30" s="2">
        <f>IF(INDEX('Solid fuels'!$D$2:$H$153,O$14,$A30)="","",INDEX('Solid fuels'!$D$2:$H$102,O$14,$A30))</f>
        <v>0.9815999999999999</v>
      </c>
      <c r="P30" s="2">
        <f>IF(INDEX('Solid fuels'!$D$2:$H$153,P$14,$A30)="","",INDEX('Solid fuels'!$D$2:$H$102,P$14,$A30))</f>
        <v>0.764</v>
      </c>
      <c r="Q30" s="261">
        <f>IF(INDEX('Solid fuels'!$D$2:$H$153,Q$14,$A30)="","",INDEX('Solid fuels'!$D$2:$H$102,Q$14,$A30))</f>
        <v>0</v>
      </c>
    </row>
    <row r="31" spans="1:17" ht="12">
      <c r="A31" s="3">
        <v>5</v>
      </c>
      <c r="B31" s="2" t="str">
        <f>IF(INDEX('Solid fuels'!$D$2:$H$153,B$14,$A31)="","",INDEX('Solid fuels'!$D$2:$H$102,B$14,$A31))</f>
        <v>SF 4</v>
      </c>
      <c r="C31" s="2">
        <f>IF(INDEX('Solid fuels'!$D$2:$H$153,C$14,$A31)="","",INDEX('Solid fuels'!$D$2:$H$102,C$14,$A31))</f>
        <v>100</v>
      </c>
      <c r="D31" s="2">
        <f>IF(INDEX('Solid fuels'!$D$2:$H$153,D$14,$A31)="","",INDEX('Solid fuels'!$D$2:$H$102,D$14,$A31))</f>
        <v>25</v>
      </c>
      <c r="E31" s="2" t="str">
        <f>IF(INDEX('Solid fuels'!$D$2:$H$153,E$14,$A31)="","",INDEX('Solid fuels'!$D$2:$H$102,E$14,$A31))</f>
        <v>DIN1942</v>
      </c>
      <c r="F31" s="2">
        <f>IF(INDEX('Solid fuels'!$D$2:$H$153,F$14,$A31)="","",INDEX('Solid fuels'!$D$2:$H$102,F$14,$A31))</f>
        <v>95.0857465892898</v>
      </c>
      <c r="G31" s="2">
        <f>IF(INDEX('Solid fuels'!$D$2:$H$153,G$14,$A31)="","",INDEX('Solid fuels'!$D$2:$H$102,G$14,$A31))</f>
        <v>6.415</v>
      </c>
      <c r="H31" s="6">
        <f t="shared" si="1"/>
        <v>0.02</v>
      </c>
      <c r="I31" s="5">
        <f t="shared" si="0"/>
        <v>0.1</v>
      </c>
      <c r="J31" s="5">
        <f>IF(LEFT(E31,3)="sam",0.04,IF(E31="","",0.07))</f>
        <v>0.07</v>
      </c>
      <c r="K31" s="2" t="s">
        <v>35</v>
      </c>
      <c r="L31" s="2">
        <f>IF(INDEX('Solid fuels'!$D$2:$H$153,L$14,$A31)="","",INDEX('Solid fuels'!$D$2:$H$102,L$14,$A31))</f>
        <v>0</v>
      </c>
      <c r="M31" s="2">
        <f>IF(INDEX('Solid fuels'!$D$2:$H$153,M$14,$A31)="","",INDEX('Solid fuels'!$D$2:$H$102,M$14,$A31))</f>
        <v>7.0956</v>
      </c>
      <c r="N31" s="2">
        <f>IF(INDEX('Solid fuels'!$D$2:$H$153,N$14,$A31)="","",INDEX('Solid fuels'!$D$2:$H$102,N$14,$A31))</f>
        <v>6.5958000000000006</v>
      </c>
      <c r="O31" s="2">
        <f>IF(INDEX('Solid fuels'!$D$2:$H$153,O$14,$A31)="","",INDEX('Solid fuels'!$D$2:$H$102,O$14,$A31))</f>
        <v>1.2015999999999998</v>
      </c>
      <c r="P31" s="2">
        <f>IF(INDEX('Solid fuels'!$D$2:$H$153,P$14,$A31)="","",INDEX('Solid fuels'!$D$2:$H$102,P$14,$A31))</f>
        <v>0.681</v>
      </c>
      <c r="Q31" s="261">
        <f>IF(INDEX('Solid fuels'!$D$2:$H$153,Q$14,$A31)="","",INDEX('Solid fuels'!$D$2:$H$102,Q$14,$A31))</f>
        <v>0</v>
      </c>
    </row>
    <row r="33" ht="12">
      <c r="A33" s="2" t="str">
        <f>language!A123</f>
        <v>VERBRANDING</v>
      </c>
    </row>
    <row r="34" ht="12">
      <c r="A34" s="2" t="str">
        <f>language!A124</f>
        <v>LEVERING</v>
      </c>
    </row>
    <row r="36" spans="1:2" ht="12">
      <c r="A36" s="2" t="str">
        <f>IF('Emission data'!$C$33="",language!A125,UPPER('Emission data'!$C$33))</f>
        <v>HF</v>
      </c>
      <c r="B36" s="2" t="str">
        <f>CONCATENATE(A36,"-",LOWER(language!$A$56))</f>
        <v>HF-emissie</v>
      </c>
    </row>
    <row r="37" spans="1:2" ht="12">
      <c r="A37" s="2" t="str">
        <f>IF('Emission data'!$C$33="",language!A126,UPPER('Emission data'!$C$33))</f>
        <v>HCl</v>
      </c>
      <c r="B37" s="2" t="str">
        <f>CONCATENATE(A37,"-",LOWER(language!$A$56))</f>
        <v>HCl-emissie</v>
      </c>
    </row>
    <row r="38" spans="1:2" ht="12">
      <c r="A38" s="2" t="str">
        <f>IF('Emission data'!$C$33="",language!A127,UPPER('Emission data'!$C$33))</f>
        <v>CxHy</v>
      </c>
      <c r="B38" s="2" t="str">
        <f>CONCATENATE(A38,"-",LOWER(language!$A$56))</f>
        <v>CxHy-emissie</v>
      </c>
    </row>
    <row r="39" spans="1:2" ht="12">
      <c r="A39" s="2" t="str">
        <f>IF('Emission data'!$C$33="",language!A128,UPPER('Emission data'!$C$33))</f>
        <v>CO</v>
      </c>
      <c r="B39" s="2" t="str">
        <f>CONCATENATE(A39,"-",LOWER(language!$A$56))</f>
        <v>CO-emissie</v>
      </c>
    </row>
    <row r="40" spans="1:2" ht="12">
      <c r="A40" s="2" t="str">
        <f>IF('Emission data'!$C$33="",language!A129,UPPER('Emission data'!$C$33))</f>
        <v>STOF</v>
      </c>
      <c r="B40" s="2" t="str">
        <f>CONCATENATE(A40,"-",LOWER(language!$A$56))</f>
        <v>STOF-emissie</v>
      </c>
    </row>
    <row r="41" ht="12.75" thickBot="1"/>
    <row r="42" spans="1:5" ht="12">
      <c r="A42" s="7"/>
      <c r="B42" s="14"/>
      <c r="C42" s="8" t="str">
        <f>language!A130</f>
        <v>Score</v>
      </c>
      <c r="D42" s="2" t="s">
        <v>1004</v>
      </c>
      <c r="E42" s="2" t="s">
        <v>1005</v>
      </c>
    </row>
    <row r="43" spans="1:5" ht="12">
      <c r="A43" s="9" t="str">
        <f>CONCATENATE(language!A135," ",LOWER(language!A131))</f>
        <v>Gerapporteerde stoomproductie</v>
      </c>
      <c r="B43" s="15" t="str">
        <f>IF($B3=1,IF(OR('Emission data'!E3=4,'Emission data'!E3=6),"--",language!A132),"--")</f>
        <v>niet relevant/onbekend</v>
      </c>
      <c r="C43" s="10">
        <v>-1</v>
      </c>
      <c r="D43" s="192">
        <v>0.8</v>
      </c>
      <c r="E43" s="191">
        <v>1</v>
      </c>
    </row>
    <row r="44" spans="1:3" ht="12">
      <c r="A44" s="9"/>
      <c r="B44" s="15" t="str">
        <f>IF($B3=1,IF(OR('Emission data'!E8="",'Emission data'!E8=0),"--",CONCATENATE(ROUND('Emission data'!E8*D43,1),"-",ROUND('Emission data'!E8*E43,1)," ",language!A66)),"--")</f>
        <v>62,6-78,3 ton/uur</v>
      </c>
      <c r="C44" s="10">
        <v>0</v>
      </c>
    </row>
    <row r="45" spans="1:3" ht="12">
      <c r="A45" s="9"/>
      <c r="B45" s="15" t="str">
        <f>IF($B3=1,IF(OR('Emission data'!E8="",'Emission data'!E8=0),"--",CONCATENATE("&lt;",ROUND('Emission data'!E8*D43,1)," ",language!A66)),"--")</f>
        <v>&lt;62,6 ton/uur</v>
      </c>
      <c r="C45" s="10">
        <f>IF(B45="--",0,1)</f>
        <v>1</v>
      </c>
    </row>
    <row r="46" spans="1:3" ht="12">
      <c r="A46" s="9"/>
      <c r="B46" s="15" t="str">
        <f>IF($B3=1,IF(OR('Emission data'!E8="",'Emission data'!E8=0),"--",CONCATENATE("&gt;",ROUND('Emission data'!E8*E43,1)," ",language!A66)),"--")</f>
        <v>&gt;78,3 ton/uur</v>
      </c>
      <c r="C46" s="10">
        <f>IF(B46="--",0,1)</f>
        <v>1</v>
      </c>
    </row>
    <row r="47" spans="1:3" ht="12.75" thickBot="1">
      <c r="A47" s="11" t="str">
        <f>language!A133</f>
        <v>Keuze</v>
      </c>
      <c r="B47" s="182">
        <v>1</v>
      </c>
      <c r="C47" s="12">
        <f>INDEX(C43:C46,B47)</f>
        <v>-1</v>
      </c>
    </row>
    <row r="48" spans="1:5" ht="12">
      <c r="A48" s="7"/>
      <c r="B48" s="14"/>
      <c r="C48" s="8" t="str">
        <f>C42</f>
        <v>Score</v>
      </c>
      <c r="D48" s="2" t="s">
        <v>1004</v>
      </c>
      <c r="E48" s="2" t="s">
        <v>1005</v>
      </c>
    </row>
    <row r="49" spans="1:5" ht="12">
      <c r="A49" s="9" t="str">
        <f>CONCATENATE(language!A135," ",LOWER(language!A134))</f>
        <v>Gerapporteerde bedrijfstijd</v>
      </c>
      <c r="B49" s="15" t="str">
        <f>IF($B3=1,language!A132,"--")</f>
        <v>niet relevant/onbekend</v>
      </c>
      <c r="C49" s="10">
        <v>-1</v>
      </c>
      <c r="D49" s="192">
        <v>0.8</v>
      </c>
      <c r="E49" s="191">
        <v>1.2</v>
      </c>
    </row>
    <row r="50" spans="1:3" ht="12">
      <c r="A50" s="9"/>
      <c r="B50" s="15" t="str">
        <f>IF(OR($B3=0,'Emission data'!F4=""),"--",CONCATENATE(ROUND('Emission data'!F4*IF('Emission data'!E4=5,1,D49),0),"-",ROUND('Emission data'!F4*IF('Emission data'!E4=5,E49,1),0)," ",language!A67))</f>
        <v>7008-8760 uur/jaar</v>
      </c>
      <c r="C50" s="10">
        <v>0</v>
      </c>
    </row>
    <row r="51" spans="1:3" ht="12">
      <c r="A51" s="9"/>
      <c r="B51" s="15" t="str">
        <f>IF(OR($B3=0,'Emission data'!F4=""),"--",CONCATENATE("&lt; ",ROUND('Emission data'!F4*IF('Emission data'!E4=5,1,D49),0)," ",language!A67))</f>
        <v>&lt; 7008 uur/jaar</v>
      </c>
      <c r="C51" s="10">
        <f>IF(B51="--",0,1)</f>
        <v>1</v>
      </c>
    </row>
    <row r="52" spans="1:5" ht="12">
      <c r="A52" s="9"/>
      <c r="B52" s="15" t="str">
        <f>IF(OR($B3=0,'Emission data'!F4=""),"--",CONCATENATE("&gt; ",ROUND('Emission data'!F4*IF('Emission data'!E4=5,E49,1),0)," ",language!A67))</f>
        <v>&gt; 8760 uur/jaar</v>
      </c>
      <c r="C52" s="10">
        <f>IF(B52="--",0,1)</f>
        <v>1</v>
      </c>
      <c r="E52" s="188"/>
    </row>
    <row r="53" spans="1:3" ht="12.75" thickBot="1">
      <c r="A53" s="11" t="str">
        <f>A47</f>
        <v>Keuze</v>
      </c>
      <c r="B53" s="182">
        <v>1</v>
      </c>
      <c r="C53" s="12">
        <f>INDEX(C49:C52,B53)</f>
        <v>-1</v>
      </c>
    </row>
    <row r="54" spans="1:5" ht="12">
      <c r="A54" s="7"/>
      <c r="B54" s="14"/>
      <c r="C54" s="8" t="str">
        <f>C48</f>
        <v>Score</v>
      </c>
      <c r="D54" s="2" t="s">
        <v>1004</v>
      </c>
      <c r="E54" s="2" t="s">
        <v>1005</v>
      </c>
    </row>
    <row r="55" spans="1:5" ht="12">
      <c r="A55" s="9" t="str">
        <f>CONCATENATE(language!A137," ",language!A40)</f>
        <v>Emissie-eis NOx</v>
      </c>
      <c r="B55" s="15" t="str">
        <f>IF($B3=1,language!A132,"--")</f>
        <v>niet relevant/onbekend</v>
      </c>
      <c r="C55" s="13">
        <v>-1</v>
      </c>
      <c r="D55" s="192">
        <v>1</v>
      </c>
      <c r="E55" s="191">
        <v>1.5</v>
      </c>
    </row>
    <row r="56" spans="1:5" ht="12">
      <c r="A56" s="9"/>
      <c r="B56" s="15" t="str">
        <f>IF(OR($B3=0,'Emission data'!G31="",'Emission data'!G31=0),"--",CONCATENATE(ROUND('Emission data'!G31*D55,0),"-",ROUND(E55*'Emission data'!G31,0),"  ",language!A93," ",M5))</f>
        <v>--</v>
      </c>
      <c r="C56" s="10">
        <f>IF(B56="--",-1,0)</f>
        <v>-1</v>
      </c>
      <c r="D56" s="1"/>
      <c r="E56" s="1"/>
    </row>
    <row r="57" spans="1:3" ht="12">
      <c r="A57" s="9"/>
      <c r="B57" s="15" t="str">
        <f>IF(OR($B3=0,'Emission data'!G31="",'Emission data'!G31=0),"--",CONCATENATE("&lt; ",ROUND('Emission data'!G31*D55,0),"  ",language!A93," ",M5))</f>
        <v>--</v>
      </c>
      <c r="C57" s="10">
        <f>IF(B57="--",-1,1)</f>
        <v>-1</v>
      </c>
    </row>
    <row r="58" spans="1:3" ht="12">
      <c r="A58" s="9"/>
      <c r="B58" s="15" t="str">
        <f>IF(OR($B3=0,'Emission data'!G31="",'Emission data'!G31=0),"--",CONCATENATE("&gt;",ROUND(E55*'Emission data'!G31,0),"  ",language!A93," ",M5))</f>
        <v>--</v>
      </c>
      <c r="C58" s="10">
        <f>IF(B58="--",-1,2)</f>
        <v>-1</v>
      </c>
    </row>
    <row r="59" spans="1:3" ht="12">
      <c r="A59" s="9"/>
      <c r="B59" s="15" t="str">
        <f>IF(OR($B3=0,'Emission data'!M22=0,'Emission data'!L31=0,'Emission data'!L31=""),"--",CONCATENATE(ROUND('Emission data'!J31/'Emission data'!M22*D55,0),"-",ROUND(E55*'Emission data'!J31/'Emission data'!M22,0)," ",language!A96))</f>
        <v>--</v>
      </c>
      <c r="C59" s="10">
        <f>IF(B59="--",-1,0)</f>
        <v>-1</v>
      </c>
    </row>
    <row r="60" spans="1:3" ht="12">
      <c r="A60" s="9"/>
      <c r="B60" s="15" t="str">
        <f>IF(OR($B3=0,'Emission data'!M22=0,'Emission data'!L31=0,'Emission data'!L31=""),"--",CONCATENATE("&lt; ",ROUND('Emission data'!J31/'Emission data'!M22*D55,0)," ",language!A96))</f>
        <v>--</v>
      </c>
      <c r="C60" s="10">
        <f>IF(B60="--",-1,1)</f>
        <v>-1</v>
      </c>
    </row>
    <row r="61" spans="1:3" ht="12">
      <c r="A61" s="9"/>
      <c r="B61" s="15" t="str">
        <f>IF(OR($B3=0,'Emission data'!M22=0,'Emission data'!L31=0,'Emission data'!L31=""),"--",CONCATENATE("&gt; ",ROUND(E55*'Emission data'!J31/'Emission data'!M22,0)," ",language!A96))</f>
        <v>--</v>
      </c>
      <c r="C61" s="10">
        <f>IF(B61="--",-1,2)</f>
        <v>-1</v>
      </c>
    </row>
    <row r="62" spans="1:3" ht="12.75" thickBot="1">
      <c r="A62" s="11" t="str">
        <f>A53</f>
        <v>Keuze</v>
      </c>
      <c r="B62" s="183">
        <v>1</v>
      </c>
      <c r="C62" s="12">
        <f>INDEX(C55:C61,B62)</f>
        <v>-1</v>
      </c>
    </row>
    <row r="63" spans="1:5" ht="12">
      <c r="A63" s="7"/>
      <c r="B63" s="14"/>
      <c r="C63" s="8" t="str">
        <f>C54</f>
        <v>Score</v>
      </c>
      <c r="D63" s="2" t="s">
        <v>1004</v>
      </c>
      <c r="E63" s="2" t="s">
        <v>1005</v>
      </c>
    </row>
    <row r="64" spans="1:5" ht="12">
      <c r="A64" s="9" t="str">
        <f>'Validation test'!B10</f>
        <v>Gerapporteerde NOx-concentratie</v>
      </c>
      <c r="B64" s="15" t="str">
        <f>IF($B3=1,language!A132,"--")</f>
        <v>niet relevant/onbekend</v>
      </c>
      <c r="C64" s="10">
        <v>-1</v>
      </c>
      <c r="D64" s="192">
        <v>0.8</v>
      </c>
      <c r="E64" s="191">
        <v>1.2</v>
      </c>
    </row>
    <row r="65" spans="1:3" ht="12">
      <c r="A65" s="9"/>
      <c r="B65" s="15" t="str">
        <f>IF(OR($B3=0,'Emission data'!G31="",'Emission data'!G31=0),"--",CONCATENATE(ROUND('Emission data'!G31*D64,0),"-",ROUND(E64*'Emission data'!G31,0),"  ",language!A93," ",M5))</f>
        <v>--</v>
      </c>
      <c r="C65" s="10">
        <f>IF(B65="--",-1,0)</f>
        <v>-1</v>
      </c>
    </row>
    <row r="66" spans="1:3" ht="12">
      <c r="A66" s="9"/>
      <c r="B66" s="15" t="str">
        <f>IF(OR($B3=0,'Emission data'!G31="",'Emission data'!G31=0),"--",CONCATENATE("&lt; ",ROUND('Emission data'!G31*D64,0),"  ",language!A93," ",M5))</f>
        <v>--</v>
      </c>
      <c r="C66" s="10">
        <f>IF(B66="--",-1,1)</f>
        <v>-1</v>
      </c>
    </row>
    <row r="67" spans="1:3" ht="12">
      <c r="A67" s="9"/>
      <c r="B67" s="15" t="str">
        <f>IF(OR($B3=0,'Emission data'!G31="",'Emission data'!G31=0),"--",CONCATENATE("&gt;",ROUND(E64*'Emission data'!G31,0),"  ",language!A93," ",M5))</f>
        <v>--</v>
      </c>
      <c r="C67" s="10">
        <f>IF(B67="--",-1,2)</f>
        <v>-1</v>
      </c>
    </row>
    <row r="68" spans="1:3" ht="12">
      <c r="A68" s="9"/>
      <c r="B68" s="15" t="str">
        <f>IF(OR($B3=0,'Emission data'!M22=0,'Emission data'!L31=0,'Emission data'!L31=""),"--",CONCATENATE(ROUND('Emission data'!J31/'Emission data'!M22*D64,0),"-",ROUND(E64*'Emission data'!J31/'Emission data'!M22,0)," ",language!A96))</f>
        <v>--</v>
      </c>
      <c r="C68" s="10">
        <f>IF(B68="--",-1,0)</f>
        <v>-1</v>
      </c>
    </row>
    <row r="69" spans="1:3" ht="12">
      <c r="A69" s="9"/>
      <c r="B69" s="15" t="str">
        <f>IF(OR($B3=0,'Emission data'!M22=0,'Emission data'!L31=0,'Emission data'!L31=""),"--",CONCATENATE("&lt; ",ROUND('Emission data'!J31/'Emission data'!M22*D64,0)," ",language!A96))</f>
        <v>--</v>
      </c>
      <c r="C69" s="10">
        <f>IF(B69="--",-1,1)</f>
        <v>-1</v>
      </c>
    </row>
    <row r="70" spans="1:3" ht="12">
      <c r="A70" s="9"/>
      <c r="B70" s="15" t="str">
        <f>IF(OR($B3=0,'Emission data'!M22=0,'Emission data'!L31=0,'Emission data'!L31=""),"--",CONCATENATE("&gt; ",ROUND(E64*'Emission data'!J31/'Emission data'!M22,0)," ",language!A96))</f>
        <v>--</v>
      </c>
      <c r="C70" s="10">
        <f>IF(B70="--",-1,2)</f>
        <v>-1</v>
      </c>
    </row>
    <row r="71" spans="1:3" ht="12.75" thickBot="1">
      <c r="A71" s="11" t="str">
        <f>A62</f>
        <v>Keuze</v>
      </c>
      <c r="B71" s="182">
        <v>1</v>
      </c>
      <c r="C71" s="12">
        <f>INDEX(C64:C70,B71)</f>
        <v>-1</v>
      </c>
    </row>
    <row r="72" spans="1:5" ht="12">
      <c r="A72" s="7"/>
      <c r="B72" s="14"/>
      <c r="C72" s="8" t="str">
        <f>C54</f>
        <v>Score</v>
      </c>
      <c r="D72" s="2" t="s">
        <v>1004</v>
      </c>
      <c r="E72" s="2" t="s">
        <v>1005</v>
      </c>
    </row>
    <row r="73" spans="1:5" ht="12">
      <c r="A73" s="9" t="str">
        <f>CONCATENATE(language!A135," ",language!A40,"-",LOWER(language!A56))</f>
        <v>Gerapporteerde NOx-emissie</v>
      </c>
      <c r="B73" s="15" t="str">
        <f>IF($B3=1,language!A132,"--")</f>
        <v>niet relevant/onbekend</v>
      </c>
      <c r="C73" s="10">
        <v>-1</v>
      </c>
      <c r="D73" s="192">
        <v>0.8</v>
      </c>
      <c r="E73" s="191">
        <v>1.2</v>
      </c>
    </row>
    <row r="74" spans="1:5" ht="12">
      <c r="A74" s="9"/>
      <c r="B74" s="15" t="str">
        <f>IF(OR($B3=0,D74="",D74=0),"--",CONCATENATE(ROUND(D75*D73,0),"-",ROUND(D75*E73,0)," ",E75))</f>
        <v>--</v>
      </c>
      <c r="C74" s="10">
        <f>IF(B74="--",-1,0)</f>
        <v>-1</v>
      </c>
      <c r="D74" s="2">
        <f>'Emission data'!J$31</f>
        <v>0</v>
      </c>
      <c r="E74" s="2">
        <f>'Emission data'!J$34</f>
      </c>
    </row>
    <row r="75" spans="1:5" ht="12">
      <c r="A75" s="9"/>
      <c r="B75" s="15" t="str">
        <f>IF(OR($B3=0,D74="",D74=0),"--",CONCATENATE("&lt; ",ROUND(D75*D73,0)," ",E75))</f>
        <v>--</v>
      </c>
      <c r="C75" s="10">
        <f>IF(B75="--",-1,1)</f>
        <v>-1</v>
      </c>
      <c r="D75" s="2">
        <f>IF(D74="","--",IF(D74&gt;100000000,D74/1000000,IF(D74&gt;100000,D74/1000,D74)))</f>
        <v>0</v>
      </c>
      <c r="E75" s="2" t="str">
        <f>IF(D74&gt;100000000,language!$A$90,IF(D74&gt;100000,language!$A$89,language!$A$83))</f>
        <v>kg/jaar</v>
      </c>
    </row>
    <row r="76" spans="1:3" ht="12">
      <c r="A76" s="9"/>
      <c r="B76" s="15" t="str">
        <f>IF(OR($B3=0,D74="",D74=0),"--",CONCATENATE("&gt; ",ROUND(D75*E73,0)," ",E75))</f>
        <v>--</v>
      </c>
      <c r="C76" s="10">
        <f>IF(B76="--",-1,2)</f>
        <v>-1</v>
      </c>
    </row>
    <row r="77" spans="1:3" ht="12.75" thickBot="1">
      <c r="A77" s="11" t="str">
        <f>A62</f>
        <v>Keuze</v>
      </c>
      <c r="B77" s="182">
        <v>1</v>
      </c>
      <c r="C77" s="12">
        <f>INDEX(C73:C76,B77)</f>
        <v>-1</v>
      </c>
    </row>
    <row r="78" spans="1:5" ht="12">
      <c r="A78" s="7"/>
      <c r="B78" s="14"/>
      <c r="C78" s="8" t="str">
        <f>C72</f>
        <v>Score</v>
      </c>
      <c r="D78" s="2" t="s">
        <v>1004</v>
      </c>
      <c r="E78" s="2" t="s">
        <v>1005</v>
      </c>
    </row>
    <row r="79" spans="1:5" ht="12">
      <c r="A79" s="9" t="str">
        <f>CONCATENATE(language!A135," ",language!A137)</f>
        <v>Gerapporteerde Emissie-eis</v>
      </c>
      <c r="B79" s="15" t="str">
        <f>IF($B3=1,language!A132,"--")</f>
        <v>niet relevant/onbekend</v>
      </c>
      <c r="C79" s="10">
        <v>-1</v>
      </c>
      <c r="D79" s="192">
        <v>1</v>
      </c>
      <c r="E79" s="191">
        <v>2</v>
      </c>
    </row>
    <row r="80" spans="1:3" ht="12">
      <c r="A80" s="9" t="str">
        <f>INDEX(A36:A40,'Emission data'!B33)</f>
        <v>STOF</v>
      </c>
      <c r="B80" s="15" t="str">
        <f>IF(OR($B3=0,'Emission data'!G33="",'Emission data'!G33=0),"--",CONCATENATE(ROUND('Emission data'!G33*D79,0),"-",ROUND(E79*'Emission data'!G33,0),"  ",language!A93," ",M5))</f>
        <v>--</v>
      </c>
      <c r="C80" s="10">
        <f>IF(B80="--",-1,0)</f>
        <v>-1</v>
      </c>
    </row>
    <row r="81" spans="1:3" ht="12">
      <c r="A81" s="9"/>
      <c r="B81" s="15" t="str">
        <f>IF(OR($B3=0,'Emission data'!G33="",'Emission data'!G33=0),"--",CONCATENATE("&lt; ",ROUND('Emission data'!G33*D79,0),"  ",language!A93," ",M5))</f>
        <v>--</v>
      </c>
      <c r="C81" s="10">
        <f>IF(B81="--",-1,1)</f>
        <v>-1</v>
      </c>
    </row>
    <row r="82" spans="1:3" ht="12">
      <c r="A82" s="9"/>
      <c r="B82" s="15" t="str">
        <f>IF(OR($B3=0,'Emission data'!G33="",'Emission data'!G33=0),"--",CONCATENATE("&gt;",ROUND(E79*'Emission data'!G33,0),"  ",language!A93," ",M5))</f>
        <v>--</v>
      </c>
      <c r="C82" s="10">
        <f>IF(B82="--",-1,2)</f>
        <v>-1</v>
      </c>
    </row>
    <row r="83" spans="1:3" ht="12.75" thickBot="1">
      <c r="A83" s="11" t="str">
        <f>A77</f>
        <v>Keuze</v>
      </c>
      <c r="B83" s="182">
        <v>1</v>
      </c>
      <c r="C83" s="12">
        <f>INDEX(C79:C82,B83)</f>
        <v>-1</v>
      </c>
    </row>
    <row r="84" spans="1:5" ht="12">
      <c r="A84" s="7"/>
      <c r="B84" s="14"/>
      <c r="C84" s="8" t="str">
        <f>C78</f>
        <v>Score</v>
      </c>
      <c r="D84" s="2" t="s">
        <v>1004</v>
      </c>
      <c r="E84" s="2" t="s">
        <v>1005</v>
      </c>
    </row>
    <row r="85" spans="1:5" ht="12">
      <c r="A85" s="9" t="str">
        <f>'Validation test'!B15</f>
        <v>Gerapporteerde STOF-concentratie</v>
      </c>
      <c r="B85" s="15" t="str">
        <f>IF($B3=1,language!A132,"--")</f>
        <v>niet relevant/onbekend</v>
      </c>
      <c r="C85" s="10">
        <v>-1</v>
      </c>
      <c r="D85" s="192">
        <v>0.8</v>
      </c>
      <c r="E85" s="191">
        <v>1.2</v>
      </c>
    </row>
    <row r="86" spans="1:3" ht="12">
      <c r="A86" s="9"/>
      <c r="B86" s="15" t="str">
        <f>IF(OR($B3=0,'Emission data'!G33="",'Emission data'!G33=0),"--",CONCATENATE(ROUND('Emission data'!G33*D85,0),"-",ROUND(E85*'Emission data'!G33,0),"  ",language!A93," ",M5))</f>
        <v>--</v>
      </c>
      <c r="C86" s="10">
        <f>IF(B86="--",-1,0)</f>
        <v>-1</v>
      </c>
    </row>
    <row r="87" spans="1:3" ht="12">
      <c r="A87" s="9"/>
      <c r="B87" s="15" t="str">
        <f>IF(OR($B3=0,'Emission data'!G33="",'Emission data'!G33=0),"--",CONCATENATE("&lt; ",ROUND('Emission data'!G33*D85,0),"  ",language!A93," ",M5))</f>
        <v>--</v>
      </c>
      <c r="C87" s="10">
        <f>IF(B87="--",-1,1)</f>
        <v>-1</v>
      </c>
    </row>
    <row r="88" spans="1:3" ht="12">
      <c r="A88" s="9"/>
      <c r="B88" s="15" t="str">
        <f>IF(OR($B3=0,'Emission data'!G33="",'Emission data'!G33=0),"--",CONCATENATE("&gt;",ROUND(E85*'Emission data'!G33,0),"  ",language!A93," ",M5))</f>
        <v>--</v>
      </c>
      <c r="C88" s="10">
        <f>IF(B88="--",-1,2)</f>
        <v>-1</v>
      </c>
    </row>
    <row r="89" spans="1:3" ht="12.75" thickBot="1">
      <c r="A89" s="11" t="str">
        <f>A83</f>
        <v>Keuze</v>
      </c>
      <c r="B89" s="182">
        <v>1</v>
      </c>
      <c r="C89" s="12">
        <f>INDEX(C85:C88,B89)</f>
        <v>-1</v>
      </c>
    </row>
    <row r="90" spans="1:5" ht="12">
      <c r="A90" s="7"/>
      <c r="B90" s="14"/>
      <c r="C90" s="8" t="str">
        <f>C78</f>
        <v>Score</v>
      </c>
      <c r="D90" s="2" t="s">
        <v>1004</v>
      </c>
      <c r="E90" s="2" t="s">
        <v>1005</v>
      </c>
    </row>
    <row r="91" spans="1:5" ht="12">
      <c r="A91" s="9" t="s">
        <v>117</v>
      </c>
      <c r="B91" s="15" t="str">
        <f>IF($B3=1,language!A132,"--")</f>
        <v>niet relevant/onbekend</v>
      </c>
      <c r="C91" s="10">
        <v>-1</v>
      </c>
      <c r="D91" s="192">
        <v>0.8</v>
      </c>
      <c r="E91" s="191">
        <v>1.2</v>
      </c>
    </row>
    <row r="92" spans="1:5" ht="12">
      <c r="A92" s="9" t="str">
        <f>INDEX(B36:B40,'Emission data'!B33)</f>
        <v>STOF-emissie</v>
      </c>
      <c r="B92" s="15" t="str">
        <f>IF(OR($A21=0,D92="",D92=0),"--",CONCATENATE(ROUND(D93*D91,0),"-",ROUND(D93*E91,0)," ",E93))</f>
        <v>--</v>
      </c>
      <c r="C92" s="10">
        <f>IF(B92="--",-1,0)</f>
        <v>-1</v>
      </c>
      <c r="D92" s="2">
        <f>'Emission data'!J$33</f>
        <v>0</v>
      </c>
      <c r="E92" s="2" t="str">
        <f>'Emission data'!F33</f>
        <v>kg/jaar</v>
      </c>
    </row>
    <row r="93" spans="1:5" ht="12">
      <c r="A93" s="9"/>
      <c r="B93" s="15" t="str">
        <f>IF(OR($A21=0,D92="",D92=0),"--",CONCATENATE("&lt; ",ROUND(D93*D91,0)," ",E93))</f>
        <v>--</v>
      </c>
      <c r="C93" s="10">
        <f>IF(B93="--",-1,1)</f>
        <v>-1</v>
      </c>
      <c r="D93" s="2">
        <f>IF(D92="","--",IF(D92&gt;100000000,D92/1000000,IF(D92&gt;100000,D92/1000,D92)))</f>
        <v>0</v>
      </c>
      <c r="E93" s="2" t="str">
        <f>IF(D92&gt;100000000,language!$A$90,IF(D92&gt;100000,language!$A$89,language!$A$83))</f>
        <v>kg/jaar</v>
      </c>
    </row>
    <row r="94" spans="1:3" ht="12">
      <c r="A94" s="9"/>
      <c r="B94" s="15" t="str">
        <f>IF(OR($A21=0,D92="",D92=0),"--",CONCATENATE("&gt; ",ROUND(D93*E91,0)," ",E93))</f>
        <v>--</v>
      </c>
      <c r="C94" s="10">
        <f>IF(B94="--",-1,2)</f>
        <v>-1</v>
      </c>
    </row>
    <row r="95" spans="1:3" ht="12.75" thickBot="1">
      <c r="A95" s="11" t="str">
        <f>A83</f>
        <v>Keuze</v>
      </c>
      <c r="B95" s="182">
        <v>1</v>
      </c>
      <c r="C95" s="12">
        <f>INDEX(C91:C94,B95)</f>
        <v>-1</v>
      </c>
    </row>
    <row r="96" spans="1:5" ht="12">
      <c r="A96" s="7"/>
      <c r="B96" s="14"/>
      <c r="C96" s="8" t="str">
        <f>C90</f>
        <v>Score</v>
      </c>
      <c r="D96" s="2" t="s">
        <v>1004</v>
      </c>
      <c r="E96" s="2" t="s">
        <v>1005</v>
      </c>
    </row>
    <row r="97" spans="1:5" ht="12">
      <c r="A97" s="9" t="str">
        <f>CONCATENATE(language!A135," ",language!A137," ",language!A38)</f>
        <v>Gerapporteerde Emissie-eis SO2</v>
      </c>
      <c r="B97" s="15" t="str">
        <f>IF($B3=1,language!A132,"--")</f>
        <v>niet relevant/onbekend</v>
      </c>
      <c r="C97" s="10">
        <v>-1</v>
      </c>
      <c r="D97" s="192">
        <v>1</v>
      </c>
      <c r="E97" s="191">
        <v>1.5</v>
      </c>
    </row>
    <row r="98" spans="1:3" ht="12">
      <c r="A98" s="9"/>
      <c r="B98" s="15" t="str">
        <f>IF(OR($B3=0,'Emission data'!G32="",'Emission data'!G32=0),"--",CONCATENATE(ROUND('Emission data'!G32*D97,0),"-",ROUND(E97*'Emission data'!G32,0),"  ",language!A93," ",M5))</f>
        <v>--</v>
      </c>
      <c r="C98" s="10">
        <f>IF(B98="--",-1,0)</f>
        <v>-1</v>
      </c>
    </row>
    <row r="99" spans="1:3" ht="12">
      <c r="A99" s="9"/>
      <c r="B99" s="15" t="str">
        <f>IF(OR($B3=0,'Emission data'!G32="",'Emission data'!G32=0),"--",CONCATENATE("&lt; ",ROUND('Emission data'!G32*D97,0),"  ",language!A93," ",M5))</f>
        <v>--</v>
      </c>
      <c r="C99" s="10">
        <f>IF(B99="--",-1,1)</f>
        <v>-1</v>
      </c>
    </row>
    <row r="100" spans="1:3" ht="12">
      <c r="A100" s="9"/>
      <c r="B100" s="15" t="str">
        <f>IF(OR($B3=0,'Emission data'!G32="",'Emission data'!G32=0),"--",CONCATENATE("&gt;",ROUND(E97*'Emission data'!G32,0),"  ",language!A93," ",M5))</f>
        <v>--</v>
      </c>
      <c r="C100" s="10">
        <f>IF(B100="--",-1,2)</f>
        <v>-1</v>
      </c>
    </row>
    <row r="101" spans="1:3" ht="12.75" thickBot="1">
      <c r="A101" s="11" t="str">
        <f>A95</f>
        <v>Keuze</v>
      </c>
      <c r="B101" s="182">
        <v>1</v>
      </c>
      <c r="C101" s="12">
        <f>INDEX(C97:C100,B101)</f>
        <v>-1</v>
      </c>
    </row>
    <row r="102" spans="1:5" ht="12">
      <c r="A102" s="7"/>
      <c r="B102" s="14"/>
      <c r="C102" s="8" t="str">
        <f>C96</f>
        <v>Score</v>
      </c>
      <c r="D102" s="2" t="s">
        <v>1004</v>
      </c>
      <c r="E102" s="2" t="s">
        <v>1005</v>
      </c>
    </row>
    <row r="103" spans="1:5" ht="12">
      <c r="A103" s="9" t="str">
        <f>'Validation test'!B12</f>
        <v>Gerapporteerde SO2-concentratie</v>
      </c>
      <c r="B103" s="15" t="str">
        <f>IF($B3=1,language!A132,"--")</f>
        <v>niet relevant/onbekend</v>
      </c>
      <c r="C103" s="10">
        <v>-1</v>
      </c>
      <c r="D103" s="192">
        <v>0.8</v>
      </c>
      <c r="E103" s="191">
        <v>1.2</v>
      </c>
    </row>
    <row r="104" spans="1:3" ht="12">
      <c r="A104" s="9"/>
      <c r="B104" s="15" t="str">
        <f>IF(OR($B3=0,'Emission data'!G32="",,'Emission data'!G32=0),"--",CONCATENATE(ROUND('Emission data'!G32*D103,0),"-",ROUND(E103*'Emission data'!G32,0),"  ",language!A93," ",M5))</f>
        <v>--</v>
      </c>
      <c r="C104" s="10">
        <f>IF(B104="--",-1,0)</f>
        <v>-1</v>
      </c>
    </row>
    <row r="105" spans="1:3" ht="12">
      <c r="A105" s="9"/>
      <c r="B105" s="15" t="str">
        <f>IF(OR($B3=0,'Emission data'!G32="",'Emission data'!G32=0),"--",CONCATENATE("&lt; ",ROUND('Emission data'!G32*D103,0),"  ",language!A93," ",M5))</f>
        <v>--</v>
      </c>
      <c r="C105" s="10">
        <f>IF(B105="--",-1,1)</f>
        <v>-1</v>
      </c>
    </row>
    <row r="106" spans="1:3" ht="12">
      <c r="A106" s="9"/>
      <c r="B106" s="15" t="str">
        <f>IF(OR($B3=0,'Emission data'!G32="",'Emission data'!G32=0),"--",CONCATENATE("&gt;",ROUND(E103*'Emission data'!G32,0),"  ",language!A93," ",M5))</f>
        <v>--</v>
      </c>
      <c r="C106" s="10">
        <f>IF(B106="--",-1,2)</f>
        <v>-1</v>
      </c>
    </row>
    <row r="107" spans="1:3" ht="12.75" thickBot="1">
      <c r="A107" s="11" t="str">
        <f>A101</f>
        <v>Keuze</v>
      </c>
      <c r="B107" s="182">
        <v>1</v>
      </c>
      <c r="C107" s="12">
        <f>INDEX(C103:C106,B107)</f>
        <v>-1</v>
      </c>
    </row>
    <row r="108" spans="1:5" ht="12">
      <c r="A108" s="7"/>
      <c r="B108" s="14"/>
      <c r="C108" s="8" t="str">
        <f>C96</f>
        <v>Score</v>
      </c>
      <c r="D108" s="2" t="s">
        <v>1004</v>
      </c>
      <c r="E108" s="2" t="s">
        <v>1005</v>
      </c>
    </row>
    <row r="109" spans="1:5" ht="12">
      <c r="A109" s="9" t="str">
        <f>CONCATENATE(language!A135," ",language!A38,"-",LOWER(language!A56))</f>
        <v>Gerapporteerde SO2-emissie</v>
      </c>
      <c r="B109" s="15" t="str">
        <f>IF($B3=1,language!A132,"--")</f>
        <v>niet relevant/onbekend</v>
      </c>
      <c r="C109" s="10">
        <v>-1</v>
      </c>
      <c r="D109" s="192">
        <v>0.8</v>
      </c>
      <c r="E109" s="191">
        <v>1.2</v>
      </c>
    </row>
    <row r="110" spans="1:5" ht="12">
      <c r="A110" s="9"/>
      <c r="B110" s="15" t="str">
        <f>IF(OR($A39=0,D110="",D110=0),"--",CONCATENATE(ROUND(D111*D109,0),"-",ROUND(D111*E109,0)," ",E111))</f>
        <v>--</v>
      </c>
      <c r="C110" s="10">
        <f>IF(B110="--",-1,0)</f>
        <v>-1</v>
      </c>
      <c r="D110" s="2">
        <f>'Emission data'!J$32</f>
        <v>0</v>
      </c>
      <c r="E110" s="2" t="str">
        <f>'Emission data'!F32</f>
        <v>kg/jaar</v>
      </c>
    </row>
    <row r="111" spans="1:5" ht="12">
      <c r="A111" s="9"/>
      <c r="B111" s="15" t="str">
        <f>IF(OR($A39=0,D110="",D110=0),"--",CONCATENATE("&lt; ",ROUND(D111*D109,0)," ",E111))</f>
        <v>--</v>
      </c>
      <c r="C111" s="10">
        <f>IF(B111="--",-1,1)</f>
        <v>-1</v>
      </c>
      <c r="D111" s="2">
        <f>IF(D110="","--",IF(D110&gt;100000000,D110/1000000,IF(D110&gt;100000,D110/1000,D110)))</f>
        <v>0</v>
      </c>
      <c r="E111" s="2" t="str">
        <f>IF(D110&gt;100000000,language!$A$90,IF(D110&gt;100000,language!$A$89,language!$A$83))</f>
        <v>kg/jaar</v>
      </c>
    </row>
    <row r="112" spans="1:3" ht="12">
      <c r="A112" s="9"/>
      <c r="B112" s="15" t="str">
        <f>IF(OR($A39=0,D110="",D110=0),"--",CONCATENATE("&gt; ",ROUND(D111*E109,0)," ",E111))</f>
        <v>--</v>
      </c>
      <c r="C112" s="10">
        <f>IF(B112="--",-1,2)</f>
        <v>-1</v>
      </c>
    </row>
    <row r="113" spans="1:3" ht="12.75" thickBot="1">
      <c r="A113" s="11" t="str">
        <f>A101</f>
        <v>Keuze</v>
      </c>
      <c r="B113" s="182">
        <v>1</v>
      </c>
      <c r="C113" s="12">
        <f>INDEX(C109:C112,B113)</f>
        <v>-1</v>
      </c>
    </row>
    <row r="114" spans="1:12" ht="12">
      <c r="A114" s="7" t="str">
        <f>'Validation test'!B7</f>
        <v>Gemiddelde belasting</v>
      </c>
      <c r="B114" s="14" t="s">
        <v>1004</v>
      </c>
      <c r="C114" s="8" t="s">
        <v>1005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 thickBot="1">
      <c r="A115" s="11"/>
      <c r="B115" s="190">
        <v>0.6</v>
      </c>
      <c r="C115" s="193">
        <v>1.05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">
      <c r="A116" s="9" t="str">
        <f>'Validation test'!B8</f>
        <v>Gerapporteerde CO2-emissie in % van de theoretische waarde</v>
      </c>
      <c r="B116" s="14" t="s">
        <v>1004</v>
      </c>
      <c r="C116" s="8" t="s">
        <v>1005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 thickBot="1">
      <c r="A117" s="9"/>
      <c r="B117" s="190">
        <v>0.95</v>
      </c>
      <c r="C117" s="193">
        <v>1.05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">
      <c r="A118" s="7" t="str">
        <f>'Validation test'!B13</f>
        <v>Gerapporteerde SO2-emissie in % van de theoretische waarde</v>
      </c>
      <c r="B118" s="14" t="s">
        <v>1004</v>
      </c>
      <c r="C118" s="8" t="s">
        <v>1005</v>
      </c>
      <c r="F118" s="1"/>
      <c r="G118" s="1"/>
      <c r="H118" s="1"/>
      <c r="I118" s="1"/>
      <c r="J118" s="1"/>
      <c r="K118" s="1"/>
      <c r="L118" s="1"/>
    </row>
    <row r="119" spans="1:12" ht="12.75" thickBot="1">
      <c r="A119" s="11"/>
      <c r="B119" s="190">
        <v>0.9</v>
      </c>
      <c r="C119" s="193">
        <v>1.05</v>
      </c>
      <c r="F119" s="1"/>
      <c r="G119" s="1"/>
      <c r="H119" s="1"/>
      <c r="I119" s="1"/>
      <c r="J119" s="1"/>
      <c r="K119" s="1"/>
      <c r="L119" s="1"/>
    </row>
    <row r="120" spans="1:12" ht="12">
      <c r="A120" s="7"/>
      <c r="B120" s="14"/>
      <c r="C120" s="8" t="str">
        <f>C102</f>
        <v>Score</v>
      </c>
      <c r="D120" s="2" t="s">
        <v>1004</v>
      </c>
      <c r="E120" s="2" t="s">
        <v>1005</v>
      </c>
      <c r="F120" s="1"/>
      <c r="G120" s="1"/>
      <c r="H120" s="1"/>
      <c r="I120" s="1"/>
      <c r="J120" s="1"/>
      <c r="K120" s="1"/>
      <c r="L120" s="1"/>
    </row>
    <row r="121" spans="1:12" ht="12">
      <c r="A121" s="9" t="str">
        <f>language!A221</f>
        <v>Dwarsdoorsnede afgaskanaal</v>
      </c>
      <c r="B121" s="15" t="str">
        <f>IF($B$3=1,language!A132,"--")</f>
        <v>niet relevant/onbekend</v>
      </c>
      <c r="C121" s="10">
        <v>-1</v>
      </c>
      <c r="D121" s="252">
        <v>7</v>
      </c>
      <c r="E121" s="253">
        <v>15</v>
      </c>
      <c r="F121" s="1"/>
      <c r="G121" s="1"/>
      <c r="H121" s="1"/>
      <c r="I121" s="1"/>
      <c r="J121" s="1"/>
      <c r="K121" s="1"/>
      <c r="L121" s="1"/>
    </row>
    <row r="122" spans="1:12" ht="12">
      <c r="A122" s="9"/>
      <c r="B122" s="15" t="str">
        <f>IF(AND($B$3=1,D122&lt;&gt;""),CONCATENATE(ROUND(D122/E121,2),"-",ROUND(D122/D121,2)," ",language!A222),"--")</f>
        <v>0-0 m2</v>
      </c>
      <c r="C122" s="10">
        <f>IF(B122="--",-1,0)</f>
        <v>0</v>
      </c>
      <c r="D122" s="2">
        <f>IF('Emission data'!M37="","",'Emission data'!M37)</f>
        <v>0.010000000000000002</v>
      </c>
      <c r="E122" s="2" t="str">
        <f>IF('Emission data'!N37="","",'Emission data'!N37)</f>
        <v>m3/s</v>
      </c>
      <c r="F122" s="1"/>
      <c r="G122" s="1"/>
      <c r="H122" s="1"/>
      <c r="I122" s="1"/>
      <c r="J122" s="1"/>
      <c r="K122" s="1"/>
      <c r="L122" s="1"/>
    </row>
    <row r="123" spans="1:12" ht="12">
      <c r="A123" s="9"/>
      <c r="B123" s="15" t="str">
        <f>IF(AND($B$3=1,D122&lt;&gt;""),CONCATENATE("&lt; ",ROUND(D122/E121,2)," ",language!A222),"--")</f>
        <v>&lt; 0 m2</v>
      </c>
      <c r="C123" s="10">
        <f>IF(B123="--",-1,1)</f>
        <v>1</v>
      </c>
      <c r="D123" s="2">
        <f>IF(D122&lt;100,D122*1000,D122)</f>
        <v>10.000000000000002</v>
      </c>
      <c r="E123" s="2" t="str">
        <f>IF(D122&lt;100,language!A106,language!A107)</f>
        <v>GASTURBINE</v>
      </c>
      <c r="F123" s="1"/>
      <c r="G123" s="1"/>
      <c r="H123" s="1"/>
      <c r="I123" s="1"/>
      <c r="J123" s="1"/>
      <c r="K123" s="1"/>
      <c r="L123" s="1"/>
    </row>
    <row r="124" spans="1:12" ht="12">
      <c r="A124" s="9"/>
      <c r="B124" s="15" t="str">
        <f>IF(AND($B$3=1,D122&lt;&gt;""),CONCATENATE("&gt;",ROUND(D122/D121,2)," ",language!A222),"--")</f>
        <v>&gt;0 m2</v>
      </c>
      <c r="C124" s="10">
        <f>IF(B124="--",-1,2)</f>
        <v>2</v>
      </c>
      <c r="F124" s="1"/>
      <c r="G124" s="1"/>
      <c r="H124" s="1"/>
      <c r="I124" s="1"/>
      <c r="J124" s="1"/>
      <c r="K124" s="1"/>
      <c r="L124" s="1"/>
    </row>
    <row r="125" spans="1:12" ht="12.75" thickBot="1">
      <c r="A125" s="11" t="str">
        <f>A113</f>
        <v>Keuze</v>
      </c>
      <c r="B125" s="183">
        <v>1</v>
      </c>
      <c r="C125" s="12">
        <f>INDEX(C121:C124,B125)</f>
        <v>-1</v>
      </c>
      <c r="F125" s="1"/>
      <c r="G125" s="1"/>
      <c r="H125" s="1"/>
      <c r="I125" s="1"/>
      <c r="J125" s="1"/>
      <c r="K125" s="1"/>
      <c r="L125" s="1"/>
    </row>
  </sheetData>
  <sheetProtection password="8F37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Burgers</dc:creator>
  <cp:keywords/>
  <dc:description/>
  <cp:lastModifiedBy>wim</cp:lastModifiedBy>
  <cp:lastPrinted>2014-04-04T09:44:10Z</cp:lastPrinted>
  <dcterms:created xsi:type="dcterms:W3CDTF">1997-12-18T14:32:07Z</dcterms:created>
  <dcterms:modified xsi:type="dcterms:W3CDTF">2016-04-10T13:50:21Z</dcterms:modified>
  <cp:category/>
  <cp:version/>
  <cp:contentType/>
  <cp:contentStatus/>
</cp:coreProperties>
</file>